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connectumt.sharepoint.com/sites/HMStaff-HMFiscal/Shared Documents/HM Fiscal/Budget/FY 26/FY26/Budget to Actual Documents/"/>
    </mc:Choice>
  </mc:AlternateContent>
  <xr:revisionPtr revIDLastSave="138" documentId="8_{870EC45F-8FAE-49B9-BC8F-F6F5782B7FFA}" xr6:coauthVersionLast="47" xr6:coauthVersionMax="47" xr10:uidLastSave="{64ACDD06-A9B4-4A76-9BC5-F81B0970289B}"/>
  <bookViews>
    <workbookView xWindow="-98" yWindow="-98" windowWidth="31036" windowHeight="18825" xr2:uid="{C8295F9B-5BD0-4FB3-BFBF-F6FEF5557491}"/>
  </bookViews>
  <sheets>
    <sheet name="FY26 Budget FINAL No NEH" sheetId="1" r:id="rId1"/>
    <sheet name="Private Foundations" sheetId="3" state="hidden" r:id="rId2"/>
    <sheet name="Payroll--Confidential" sheetId="5" state="hidden" r:id="rId3"/>
    <sheet name="Dues &amp; Subscriptions" sheetId="2" state="hidden" r:id="rId4"/>
    <sheet name="Administrative Expenses" sheetId="4" state="hidden" r:id="rId5"/>
    <sheet name="Est Closing Costs" sheetId="6" state="hidden" r:id="rId6"/>
  </sheets>
  <definedNames>
    <definedName name="_xlnm.Print_Area" localSheetId="0">'FY26 Budget FINAL No NEH'!$A$1:$H$67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1" i="1"/>
  <c r="G13" i="1"/>
  <c r="G15" i="1"/>
  <c r="G16" i="1"/>
  <c r="G18" i="1"/>
  <c r="G19" i="1"/>
  <c r="G29" i="1"/>
  <c r="G31" i="1"/>
  <c r="G36" i="1"/>
  <c r="G37" i="1"/>
  <c r="G38" i="1"/>
  <c r="G39" i="1"/>
  <c r="G40" i="1"/>
  <c r="G41" i="1"/>
  <c r="G42" i="1"/>
  <c r="G45" i="1"/>
  <c r="G46" i="1"/>
  <c r="G47" i="1"/>
  <c r="G49" i="1"/>
  <c r="G51" i="1"/>
  <c r="G52" i="1"/>
  <c r="G53" i="1"/>
  <c r="G54" i="1"/>
  <c r="G56" i="1"/>
  <c r="G58" i="1"/>
  <c r="G59" i="1"/>
  <c r="G60" i="1"/>
  <c r="G7" i="1"/>
  <c r="F9" i="1"/>
  <c r="F10" i="1"/>
  <c r="F11" i="1"/>
  <c r="F13" i="1"/>
  <c r="F15" i="1"/>
  <c r="F16" i="1"/>
  <c r="F18" i="1"/>
  <c r="F19" i="1"/>
  <c r="F29" i="1"/>
  <c r="F31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1" i="1"/>
  <c r="F52" i="1"/>
  <c r="F53" i="1"/>
  <c r="F54" i="1"/>
  <c r="F56" i="1"/>
  <c r="F58" i="1"/>
  <c r="F59" i="1"/>
  <c r="F60" i="1"/>
  <c r="F7" i="1"/>
  <c r="E14" i="1" l="1"/>
  <c r="E12" i="1"/>
  <c r="G14" i="1" l="1"/>
  <c r="F14" i="1"/>
  <c r="E21" i="1"/>
  <c r="G12" i="1"/>
  <c r="F12" i="1"/>
  <c r="E28" i="1"/>
  <c r="E27" i="1"/>
  <c r="E50" i="1"/>
  <c r="E35" i="1"/>
  <c r="D21" i="1"/>
  <c r="B11" i="6"/>
  <c r="D30" i="1"/>
  <c r="D28" i="1"/>
  <c r="F28" i="1" s="1"/>
  <c r="D27" i="1"/>
  <c r="F27" i="1" s="1"/>
  <c r="D26" i="1"/>
  <c r="G9" i="5"/>
  <c r="C9" i="5"/>
  <c r="G8" i="5"/>
  <c r="F8" i="5"/>
  <c r="E8" i="5"/>
  <c r="D8" i="5"/>
  <c r="H8" i="5" s="1"/>
  <c r="G7" i="5"/>
  <c r="G10" i="5" s="1"/>
  <c r="F7" i="5"/>
  <c r="F10" i="5" s="1"/>
  <c r="E7" i="5"/>
  <c r="E10" i="5" s="1"/>
  <c r="D7" i="5"/>
  <c r="D55" i="1"/>
  <c r="C16" i="2"/>
  <c r="B8" i="4"/>
  <c r="D57" i="1" s="1"/>
  <c r="C8" i="2"/>
  <c r="D41" i="3"/>
  <c r="D13" i="3"/>
  <c r="D42" i="3" s="1"/>
  <c r="G27" i="1" l="1"/>
  <c r="D33" i="1"/>
  <c r="F33" i="1" s="1"/>
  <c r="F30" i="1"/>
  <c r="G30" i="1"/>
  <c r="G28" i="1"/>
  <c r="D61" i="1"/>
  <c r="F61" i="1" s="1"/>
  <c r="F57" i="1"/>
  <c r="G57" i="1"/>
  <c r="E33" i="1"/>
  <c r="G26" i="1"/>
  <c r="F26" i="1"/>
  <c r="F50" i="1"/>
  <c r="G50" i="1"/>
  <c r="G55" i="1"/>
  <c r="F55" i="1"/>
  <c r="E23" i="1"/>
  <c r="E61" i="1"/>
  <c r="G35" i="1"/>
  <c r="F35" i="1"/>
  <c r="F21" i="1"/>
  <c r="G21" i="1"/>
  <c r="D62" i="1"/>
  <c r="E62" i="1"/>
  <c r="G62" i="1" s="1"/>
  <c r="H7" i="5"/>
  <c r="C10" i="5"/>
  <c r="D9" i="5"/>
  <c r="D43" i="3"/>
  <c r="F62" i="1" l="1"/>
  <c r="D64" i="1"/>
  <c r="E64" i="1"/>
  <c r="G61" i="1"/>
  <c r="G33" i="1"/>
  <c r="G64" i="1"/>
  <c r="F64" i="1"/>
  <c r="D10" i="5"/>
  <c r="H9" i="5"/>
  <c r="H10" i="5"/>
  <c r="D23" i="1"/>
  <c r="F23" i="1" l="1"/>
  <c r="G23" i="1"/>
</calcChain>
</file>

<file path=xl/sharedStrings.xml><?xml version="1.0" encoding="utf-8"?>
<sst xmlns="http://schemas.openxmlformats.org/spreadsheetml/2006/main" count="299" uniqueCount="266">
  <si>
    <t>FY26 Budget Updated</t>
  </si>
  <si>
    <t>FY26 Approved Budget</t>
  </si>
  <si>
    <t>FY26 Actuals (as of 7/31/26)</t>
  </si>
  <si>
    <t>Budget Difference</t>
  </si>
  <si>
    <t xml:space="preserve">Percentage of Budget </t>
  </si>
  <si>
    <t>FY26 Notes</t>
  </si>
  <si>
    <t>REVENUE AND SUPPORT</t>
  </si>
  <si>
    <t>FY25 Reserves</t>
  </si>
  <si>
    <t>April FR, Reserve Funds</t>
  </si>
  <si>
    <t xml:space="preserve">Revenue  </t>
  </si>
  <si>
    <t>Speaker Co-Pays</t>
  </si>
  <si>
    <t>Support</t>
  </si>
  <si>
    <t>FSHC/Mellon Funds Carry Forward</t>
  </si>
  <si>
    <t>Spend by Dec 2026</t>
  </si>
  <si>
    <t>NEH</t>
  </si>
  <si>
    <t>MT Cultural Trust</t>
  </si>
  <si>
    <t xml:space="preserve">MT Poet Lauraete --actually $10,000 per year for two years </t>
  </si>
  <si>
    <t>Private Foundations</t>
  </si>
  <si>
    <t>See separate sheet for details - $62,000 expected in September 2026 from Engelhard Foundation</t>
  </si>
  <si>
    <t>Monthly Giving</t>
  </si>
  <si>
    <t>$400 per month currently</t>
  </si>
  <si>
    <t>Individual Contributions</t>
  </si>
  <si>
    <t>$50k Match + Annual Giving + 100% board giving</t>
  </si>
  <si>
    <t>Board Travel Donations</t>
  </si>
  <si>
    <t>These are in-kind</t>
  </si>
  <si>
    <t>House Parties/Events</t>
  </si>
  <si>
    <t xml:space="preserve"> </t>
  </si>
  <si>
    <t>Other</t>
  </si>
  <si>
    <t>MCF Endowment</t>
  </si>
  <si>
    <t>FIB Savings Acct Interest</t>
  </si>
  <si>
    <t>FY26 Total Income</t>
  </si>
  <si>
    <t>FY25 Reserves + FY26 Income</t>
  </si>
  <si>
    <t>EXPENSES</t>
  </si>
  <si>
    <t>Payroll</t>
  </si>
  <si>
    <t xml:space="preserve">No raises FY26 </t>
  </si>
  <si>
    <t>Payroll Taxes</t>
  </si>
  <si>
    <t>Health Benefits (Health, Dental, Eye)</t>
  </si>
  <si>
    <t>$1500 per employee/per month/ 2 employees. Benefit execption made for Silver and Gold plan holders with BCPS MT</t>
  </si>
  <si>
    <t>Life Insurance/LTD</t>
  </si>
  <si>
    <t>HM provides 100%</t>
  </si>
  <si>
    <t>Retirement Benefits</t>
  </si>
  <si>
    <t>10% of Salary</t>
  </si>
  <si>
    <t>Other Benefits</t>
  </si>
  <si>
    <t>This is captured in payroll</t>
  </si>
  <si>
    <t>Subtotal Personnel</t>
  </si>
  <si>
    <t>Board Expenses incl. Travel</t>
  </si>
  <si>
    <t>2 in-person, 1 virtual meeting</t>
  </si>
  <si>
    <t>Staff Travel</t>
  </si>
  <si>
    <t>Humanities on the Hill, donor meetings, DP site visits, MLA</t>
  </si>
  <si>
    <t>DP Library Stipends</t>
  </si>
  <si>
    <t>Llewellyn Grant</t>
  </si>
  <si>
    <t>MT Center for the Book (One Book Montana/Statewide Read)</t>
  </si>
  <si>
    <t>Mellon or NEH</t>
  </si>
  <si>
    <t>MT Poet Laureate Honoraria/Travel</t>
  </si>
  <si>
    <t>MT Cultural Trust +Heyneman + MAC AISC Grant</t>
  </si>
  <si>
    <t>250th Speaker Honoraria/Travel</t>
  </si>
  <si>
    <t>Total estimated expense to be $36,000.</t>
  </si>
  <si>
    <t xml:space="preserve">By the People </t>
  </si>
  <si>
    <t xml:space="preserve">FSCH/Smithsonian Grant, collaboration with MAC </t>
  </si>
  <si>
    <t>The Study Honoraria</t>
  </si>
  <si>
    <t>Not occuring</t>
  </si>
  <si>
    <t>Public Humanities Fellowships</t>
  </si>
  <si>
    <t>Mini-Grants</t>
  </si>
  <si>
    <t>Marketing/Website</t>
  </si>
  <si>
    <t>Digital Spark Creative (increase Nov 1, 2025)</t>
  </si>
  <si>
    <t>Development Consulatant</t>
  </si>
  <si>
    <t>Deb Gill/Alliance Philanthropy</t>
  </si>
  <si>
    <t>Comms/FR Consultant</t>
  </si>
  <si>
    <t>Comms and FR support (reduced amount from $20,000 to $10,000.00)</t>
  </si>
  <si>
    <t>Executive Consultant</t>
  </si>
  <si>
    <t>Executive Consultant (reduced amount from $10,000 to $0.00</t>
  </si>
  <si>
    <t>Liability Insurance including D&amp;O</t>
  </si>
  <si>
    <t>Accounting/Bookkeeping</t>
  </si>
  <si>
    <t>Total estimated expense to be $28,600 with new bookkeeper and fractional CFO</t>
  </si>
  <si>
    <t>Printing</t>
  </si>
  <si>
    <t>Fundraising/Outreach</t>
  </si>
  <si>
    <t>Postage</t>
  </si>
  <si>
    <t>Office Supplies</t>
  </si>
  <si>
    <t>UM Lease/Parking/IT Support</t>
  </si>
  <si>
    <t>Dues &amp; Subscriptions</t>
  </si>
  <si>
    <t>See separate sheet for details</t>
  </si>
  <si>
    <t>Federation Dues</t>
  </si>
  <si>
    <t>Based on FY25 Expenses</t>
  </si>
  <si>
    <t>Administrative Expenses</t>
  </si>
  <si>
    <t>Audit/990/5500</t>
  </si>
  <si>
    <t>Total estimated expense: $22,035</t>
  </si>
  <si>
    <t>Professional Development</t>
  </si>
  <si>
    <t>NHC Cancelled 2025</t>
  </si>
  <si>
    <t>Miscellaneous</t>
  </si>
  <si>
    <t>Subtotal Other</t>
  </si>
  <si>
    <t>TOTAL FY26 EXPENSES</t>
  </si>
  <si>
    <t>HM Grant Prospects</t>
  </si>
  <si>
    <t>Type</t>
  </si>
  <si>
    <t>Name</t>
  </si>
  <si>
    <t>Prior Gifts</t>
  </si>
  <si>
    <t>FY 26 Ask</t>
  </si>
  <si>
    <t>Proposal Due</t>
  </si>
  <si>
    <t>Result</t>
  </si>
  <si>
    <t>Report Due</t>
  </si>
  <si>
    <t>Notes</t>
  </si>
  <si>
    <t>Business</t>
  </si>
  <si>
    <t>Bank of America</t>
  </si>
  <si>
    <t>Check back for updates on funding priorities</t>
  </si>
  <si>
    <t>BNSF</t>
  </si>
  <si>
    <t>Rolling</t>
  </si>
  <si>
    <t>Cultural funding</t>
  </si>
  <si>
    <t>First Interstate</t>
  </si>
  <si>
    <t>Must be introduced by local branch/MSLA. Tom Severson</t>
  </si>
  <si>
    <t>MDU Resources</t>
  </si>
  <si>
    <t>Culture and arts and Civic</t>
  </si>
  <si>
    <t>US Bank</t>
  </si>
  <si>
    <t xml:space="preserve">Research opportunities.  </t>
  </si>
  <si>
    <t>Wells Fargo</t>
  </si>
  <si>
    <t>Barnes and Noble Foundation</t>
  </si>
  <si>
    <t>One Book Montana?</t>
  </si>
  <si>
    <t xml:space="preserve">Montana CU </t>
  </si>
  <si>
    <t>Clearwater CU</t>
  </si>
  <si>
    <t>Northwestern Energy</t>
  </si>
  <si>
    <t>Total</t>
  </si>
  <si>
    <t>Foundations</t>
  </si>
  <si>
    <t>Arthur Blank Foundation</t>
  </si>
  <si>
    <t>Civics/Leadership/Youth--Meet with Tawnya</t>
  </si>
  <si>
    <t>Browning-Kimball</t>
  </si>
  <si>
    <t>Denied</t>
  </si>
  <si>
    <t xml:space="preserve">Mission changed. Not a good fit. </t>
  </si>
  <si>
    <t>Charles Bair</t>
  </si>
  <si>
    <t>Central Montana focus. Education</t>
  </si>
  <si>
    <t>Davidson Family Foundation</t>
  </si>
  <si>
    <t xml:space="preserve">Arts and Culture. Cultivate. GF Focused. </t>
  </si>
  <si>
    <t>Engelhard Foundation</t>
  </si>
  <si>
    <t>Democracy Project</t>
  </si>
  <si>
    <t>Phyllis and Dennis Washington</t>
  </si>
  <si>
    <t>Arts and Culture, youth focused</t>
  </si>
  <si>
    <t xml:space="preserve">Application in Process </t>
  </si>
  <si>
    <t>Gallagher</t>
  </si>
  <si>
    <t>4/30 or 10/31</t>
  </si>
  <si>
    <t xml:space="preserve">Western Montana focused.  </t>
  </si>
  <si>
    <t>Gianforte</t>
  </si>
  <si>
    <t xml:space="preserve">Quarterly </t>
  </si>
  <si>
    <t>Must meet with Catherine in BZN first</t>
  </si>
  <si>
    <t>Headwaters Foundation</t>
  </si>
  <si>
    <t>3x per year</t>
  </si>
  <si>
    <t>Not currently a good fit with their priorities. continue to monitor</t>
  </si>
  <si>
    <t>Western Montana focused. Met with Erin. Connectors to other Foundations</t>
  </si>
  <si>
    <t>LOI Submitted; asked to move forward with application process with Feb Deadline. DP, Family Power Fund-- $75,000.00 for one year.</t>
  </si>
  <si>
    <t>SS Heyneman Foundation</t>
  </si>
  <si>
    <t>4/30 and 9/30</t>
  </si>
  <si>
    <t xml:space="preserve">Montana Poet Laureate/John Heyneman </t>
  </si>
  <si>
    <t>$15,910.00 received on 11/06/2025</t>
  </si>
  <si>
    <t>The Hearthland Foundation</t>
  </si>
  <si>
    <t>High Stakes Foundation</t>
  </si>
  <si>
    <t>Llewellen</t>
  </si>
  <si>
    <t>4/30 or 9/30</t>
  </si>
  <si>
    <t>$30,000 for DP in FY25</t>
  </si>
  <si>
    <t>Continue to cultivate and build relationship</t>
  </si>
  <si>
    <t>Marguerite Casey Foundation</t>
  </si>
  <si>
    <t>MT Community Foundation/ Local Community Foundations</t>
  </si>
  <si>
    <t>Not  currently a good fit with their priorities. continue to monitor</t>
  </si>
  <si>
    <t xml:space="preserve">Met with Mary and others in Dec 2024. Encouraged local foundations for programming. Not currently a fit. </t>
  </si>
  <si>
    <t>Murdock</t>
  </si>
  <si>
    <t>Big Asks. Cultivate. Need to research more. Collaborate with other councils?</t>
  </si>
  <si>
    <t> Strategic Investment Grant LOI Due DEC 26, 2025, asked for 148k over three years</t>
  </si>
  <si>
    <t>OP WE Edwards</t>
  </si>
  <si>
    <t xml:space="preserve">JoAnn Eder in Red Lodge. Former HM Board. Set up meeting. </t>
  </si>
  <si>
    <t>Introductory email sent 01/12/2025, received correspondance, no grantmaking to new orgs as of 2026</t>
  </si>
  <si>
    <t>Oro y Plata/Bruce Ennis</t>
  </si>
  <si>
    <t xml:space="preserve">Margaret Davis is Bruce's wife. Requires a strong business case. </t>
  </si>
  <si>
    <t>Otto Bremer</t>
  </si>
  <si>
    <t>Capital Campaigns/Big Asks</t>
  </si>
  <si>
    <t>Sample Family Foundation</t>
  </si>
  <si>
    <t>Cultivate and research/ Joseph Sample</t>
  </si>
  <si>
    <t>Steele-Reese</t>
  </si>
  <si>
    <t xml:space="preserve">Native likely and must be rural. Highly competitive. Met with Linda Tracy. Continue to cultivate relationship. </t>
  </si>
  <si>
    <t>Treacy</t>
  </si>
  <si>
    <t>Wallace Foundation</t>
  </si>
  <si>
    <t>Based in Missoula. Research and cultivate</t>
  </si>
  <si>
    <t>LOI mailed on 01/12/2025</t>
  </si>
  <si>
    <t>Literary Arts Fund</t>
  </si>
  <si>
    <t>Not eligible for General Operating Support Grant in 2026</t>
  </si>
  <si>
    <t>Williams Family Foundation</t>
  </si>
  <si>
    <t>Research opportunities. Democracy focused.  Meet with Carol or Whitney Williams</t>
  </si>
  <si>
    <t>Estimated Total</t>
  </si>
  <si>
    <t>Grand Total (estimated)</t>
  </si>
  <si>
    <t>Humanities Montana</t>
  </si>
  <si>
    <t>Personnel Budget</t>
  </si>
  <si>
    <t>FY26</t>
  </si>
  <si>
    <t>FY 26 PERSONNEL BUDGET</t>
  </si>
  <si>
    <t>Retirement</t>
  </si>
  <si>
    <t>Health</t>
  </si>
  <si>
    <t>Salary/Wage</t>
  </si>
  <si>
    <t>Taxes</t>
  </si>
  <si>
    <t>Plan</t>
  </si>
  <si>
    <t>Insurance</t>
  </si>
  <si>
    <t>Benefits</t>
  </si>
  <si>
    <t>TOTAL</t>
  </si>
  <si>
    <t>Comments</t>
  </si>
  <si>
    <t>Executive Director</t>
  </si>
  <si>
    <t>Jill Baker</t>
  </si>
  <si>
    <t>Program Manager</t>
  </si>
  <si>
    <t>Jenny Bevil</t>
  </si>
  <si>
    <t>Student/ Program Assistant</t>
  </si>
  <si>
    <t>TBD</t>
  </si>
  <si>
    <t>FY 26 Total</t>
  </si>
  <si>
    <t>Dues and Subscriptions</t>
  </si>
  <si>
    <t>FY 25 Budget</t>
  </si>
  <si>
    <t>Notes 10/9/2025 JB</t>
  </si>
  <si>
    <t>Adobe Creative Cloud</t>
  </si>
  <si>
    <t>Price increaded to $69.00 per month. Subscribed through UM IT at $200/year pp. JB</t>
  </si>
  <si>
    <t>Amazon Prime</t>
  </si>
  <si>
    <t>annual subscription--PAUSED on May 26, 2026 JB</t>
  </si>
  <si>
    <t>Associated Employers</t>
  </si>
  <si>
    <t>annual subscription--DID NOT RENEW JB</t>
  </si>
  <si>
    <t>Canva</t>
  </si>
  <si>
    <t>annual subscription</t>
  </si>
  <si>
    <t>DocuSign</t>
  </si>
  <si>
    <t>annual subscription-- Cancelled JB</t>
  </si>
  <si>
    <t>Gravity Kit</t>
  </si>
  <si>
    <t>annual subscription for website plugins</t>
  </si>
  <si>
    <t>Intuit annual fee</t>
  </si>
  <si>
    <t>Moved to QB Online $80/yr through TechSoup.org JB</t>
  </si>
  <si>
    <t>Intuit employee</t>
  </si>
  <si>
    <t>Moved Payroll Manager $50/yr JB</t>
  </si>
  <si>
    <t>Last Pass</t>
  </si>
  <si>
    <t>Cancelled JB</t>
  </si>
  <si>
    <t>Grant Station</t>
  </si>
  <si>
    <t>separated from MNA dues</t>
  </si>
  <si>
    <t>Microsoft</t>
  </si>
  <si>
    <t>UM provides</t>
  </si>
  <si>
    <t>Montana Nonprofit Association</t>
  </si>
  <si>
    <t xml:space="preserve">Keep- Paid </t>
  </si>
  <si>
    <t>MT Secretary of State</t>
  </si>
  <si>
    <t>annual report</t>
  </si>
  <si>
    <t>Misc</t>
  </si>
  <si>
    <t>2025 Budget</t>
  </si>
  <si>
    <t>Notes/Questions</t>
  </si>
  <si>
    <t>General and Administrative Expenses</t>
  </si>
  <si>
    <t>Endowment Expense</t>
  </si>
  <si>
    <t>Database Expense- Bloomerang</t>
  </si>
  <si>
    <t>Keep</t>
  </si>
  <si>
    <t>Network Expense - Foundant</t>
  </si>
  <si>
    <t>Bank and Credit Card Fees</t>
  </si>
  <si>
    <t>Vendor</t>
  </si>
  <si>
    <t>Amount</t>
  </si>
  <si>
    <t xml:space="preserve">Final Payroll </t>
  </si>
  <si>
    <t>Estimated Costs; Include payouts for sick and vacation</t>
  </si>
  <si>
    <t>University of Montana</t>
  </si>
  <si>
    <t>Final Lease payment, Parking, IT Support</t>
  </si>
  <si>
    <t>Foundant</t>
  </si>
  <si>
    <t>Payout contract, request refund, archive records</t>
  </si>
  <si>
    <t>Bloomerang</t>
  </si>
  <si>
    <t>Other Contracts</t>
  </si>
  <si>
    <t>Estimated Costs: Accountant, Digital Spark Creative, other?</t>
  </si>
  <si>
    <t>Subscriptions</t>
  </si>
  <si>
    <t>Cancel or payout all subscriptions</t>
  </si>
  <si>
    <t>Legal Fees</t>
  </si>
  <si>
    <t>estimated cost; need bid from firm</t>
  </si>
  <si>
    <t>FINAL Audit costs</t>
  </si>
  <si>
    <t>Other Costs</t>
  </si>
  <si>
    <t xml:space="preserve">This may not be the final list. Add additional costs if needed. </t>
  </si>
  <si>
    <t>MUST LEAVE THIS AMOUNT FOR FINAL CLOSING COSTS</t>
  </si>
  <si>
    <t>Assets to Disburse</t>
  </si>
  <si>
    <t>Montana Community Foundation</t>
  </si>
  <si>
    <t>Update to Current Balance</t>
  </si>
  <si>
    <t>FIB Account</t>
  </si>
  <si>
    <t>Balance left after paying out closing costs</t>
  </si>
  <si>
    <t xml:space="preserve">*Determine what nonprofit to leave assets to (related to humanities mission). Need board approval.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</si>
</sst>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26">
    <font>
      <sz val="10"/>
      <name val="Arial"/>
    </font>
    <font>
      <sz val="16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12"/>
      <name val="Arial"/>
      <family val="2"/>
    </font>
    <font>
      <sz val="16"/>
      <color rgb="FF1F497D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33">
    <xf numFmtId="0" fontId="0" fillId="0" borderId="0" xfId="0"/>
    <xf numFmtId="0" fontId="7" fillId="0" borderId="0" xfId="0" applyFont="1"/>
    <xf numFmtId="44" fontId="0" fillId="0" borderId="0" xfId="2" applyFont="1" applyAlignment="1"/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44" fontId="7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 applyAlignment="1">
      <alignment horizontal="center"/>
    </xf>
    <xf numFmtId="44" fontId="7" fillId="0" borderId="0" xfId="2" applyFont="1" applyAlignment="1"/>
    <xf numFmtId="44" fontId="0" fillId="0" borderId="7" xfId="2" applyFont="1" applyBorder="1" applyAlignme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17" fontId="0" fillId="0" borderId="0" xfId="0" applyNumberFormat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/>
    <xf numFmtId="0" fontId="10" fillId="2" borderId="0" xfId="0" applyFont="1" applyFill="1"/>
    <xf numFmtId="44" fontId="0" fillId="0" borderId="0" xfId="0" applyNumberFormat="1"/>
    <xf numFmtId="44" fontId="0" fillId="2" borderId="0" xfId="0" applyNumberFormat="1" applyFill="1"/>
    <xf numFmtId="0" fontId="0" fillId="0" borderId="8" xfId="0" applyBorder="1"/>
    <xf numFmtId="44" fontId="0" fillId="2" borderId="8" xfId="0" applyNumberFormat="1" applyFill="1" applyBorder="1"/>
    <xf numFmtId="44" fontId="10" fillId="2" borderId="0" xfId="0" applyNumberFormat="1" applyFont="1" applyFill="1"/>
    <xf numFmtId="44" fontId="11" fillId="0" borderId="0" xfId="0" applyNumberFormat="1" applyFont="1" applyAlignment="1">
      <alignment horizontal="left" wrapText="1"/>
    </xf>
    <xf numFmtId="14" fontId="12" fillId="0" borderId="0" xfId="0" applyNumberFormat="1" applyFont="1" applyAlignment="1">
      <alignment horizontal="left" wrapText="1"/>
    </xf>
    <xf numFmtId="44" fontId="11" fillId="2" borderId="8" xfId="0" applyNumberFormat="1" applyFont="1" applyFill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3" fillId="0" borderId="0" xfId="0" applyFont="1"/>
    <xf numFmtId="0" fontId="11" fillId="0" borderId="0" xfId="0" applyFont="1" applyAlignment="1">
      <alignment vertical="top"/>
    </xf>
    <xf numFmtId="0" fontId="14" fillId="0" borderId="0" xfId="0" applyFont="1"/>
    <xf numFmtId="165" fontId="0" fillId="0" borderId="0" xfId="3" applyNumberFormat="1" applyFont="1" applyAlignment="1">
      <alignment horizontal="right"/>
    </xf>
    <xf numFmtId="165" fontId="15" fillId="0" borderId="0" xfId="3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44" fontId="10" fillId="2" borderId="9" xfId="0" applyNumberFormat="1" applyFont="1" applyFill="1" applyBorder="1"/>
    <xf numFmtId="0" fontId="16" fillId="0" borderId="0" xfId="0" applyFont="1"/>
    <xf numFmtId="0" fontId="0" fillId="3" borderId="0" xfId="0" applyFill="1"/>
    <xf numFmtId="0" fontId="10" fillId="3" borderId="0" xfId="0" applyFont="1" applyFill="1"/>
    <xf numFmtId="44" fontId="10" fillId="3" borderId="0" xfId="0" applyNumberFormat="1" applyFont="1" applyFill="1"/>
    <xf numFmtId="44" fontId="0" fillId="3" borderId="0" xfId="0" applyNumberFormat="1" applyFill="1"/>
    <xf numFmtId="38" fontId="10" fillId="0" borderId="0" xfId="0" applyNumberFormat="1" applyFont="1"/>
    <xf numFmtId="38" fontId="0" fillId="0" borderId="0" xfId="0" applyNumberFormat="1"/>
    <xf numFmtId="38" fontId="17" fillId="0" borderId="0" xfId="0" applyNumberFormat="1" applyFont="1"/>
    <xf numFmtId="38" fontId="0" fillId="0" borderId="0" xfId="0" applyNumberFormat="1" applyAlignment="1">
      <alignment horizontal="center"/>
    </xf>
    <xf numFmtId="38" fontId="10" fillId="0" borderId="0" xfId="0" applyNumberFormat="1" applyFont="1" applyAlignment="1">
      <alignment horizontal="center"/>
    </xf>
    <xf numFmtId="38" fontId="0" fillId="0" borderId="8" xfId="0" applyNumberFormat="1" applyBorder="1" applyAlignment="1">
      <alignment horizontal="center"/>
    </xf>
    <xf numFmtId="38" fontId="10" fillId="0" borderId="8" xfId="0" applyNumberFormat="1" applyFont="1" applyBorder="1" applyAlignment="1">
      <alignment horizontal="center"/>
    </xf>
    <xf numFmtId="38" fontId="0" fillId="0" borderId="0" xfId="0" quotePrefix="1" applyNumberFormat="1"/>
    <xf numFmtId="38" fontId="0" fillId="0" borderId="8" xfId="0" applyNumberFormat="1" applyBorder="1"/>
    <xf numFmtId="38" fontId="10" fillId="0" borderId="8" xfId="0" applyNumberFormat="1" applyFont="1" applyBorder="1"/>
    <xf numFmtId="40" fontId="0" fillId="0" borderId="0" xfId="0" applyNumberFormat="1"/>
    <xf numFmtId="0" fontId="22" fillId="0" borderId="0" xfId="0" applyFont="1"/>
    <xf numFmtId="0" fontId="23" fillId="0" borderId="0" xfId="0" applyFont="1"/>
    <xf numFmtId="0" fontId="0" fillId="0" borderId="20" xfId="0" applyBorder="1"/>
    <xf numFmtId="164" fontId="0" fillId="0" borderId="0" xfId="0" applyNumberFormat="1"/>
    <xf numFmtId="164" fontId="0" fillId="0" borderId="20" xfId="0" applyNumberFormat="1" applyBorder="1"/>
    <xf numFmtId="0" fontId="0" fillId="4" borderId="0" xfId="0" applyFill="1" applyAlignment="1">
      <alignment wrapText="1"/>
    </xf>
    <xf numFmtId="0" fontId="5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44" fontId="4" fillId="0" borderId="0" xfId="2" applyFont="1" applyFill="1" applyAlignment="1"/>
    <xf numFmtId="9" fontId="4" fillId="0" borderId="3" xfId="4" applyFont="1" applyFill="1" applyBorder="1" applyAlignment="1"/>
    <xf numFmtId="0" fontId="4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horizontal="right"/>
    </xf>
    <xf numFmtId="44" fontId="4" fillId="0" borderId="0" xfId="2" applyFont="1" applyFill="1" applyAlignment="1">
      <alignment horizontal="center"/>
    </xf>
    <xf numFmtId="0" fontId="18" fillId="0" borderId="2" xfId="0" applyFont="1" applyBorder="1"/>
    <xf numFmtId="0" fontId="19" fillId="0" borderId="2" xfId="0" applyFont="1" applyBorder="1" applyAlignment="1">
      <alignment horizontal="right"/>
    </xf>
    <xf numFmtId="44" fontId="4" fillId="0" borderId="2" xfId="2" applyFont="1" applyFill="1" applyBorder="1" applyAlignment="1">
      <alignment horizontal="center"/>
    </xf>
    <xf numFmtId="0" fontId="1" fillId="0" borderId="2" xfId="0" applyFont="1" applyBorder="1"/>
    <xf numFmtId="0" fontId="20" fillId="0" borderId="5" xfId="0" applyFont="1" applyBorder="1"/>
    <xf numFmtId="44" fontId="4" fillId="0" borderId="10" xfId="2" applyFont="1" applyFill="1" applyBorder="1" applyAlignment="1"/>
    <xf numFmtId="44" fontId="4" fillId="0" borderId="11" xfId="2" applyFont="1" applyFill="1" applyBorder="1" applyAlignment="1"/>
    <xf numFmtId="44" fontId="4" fillId="0" borderId="18" xfId="2" applyFont="1" applyFill="1" applyBorder="1" applyAlignment="1"/>
    <xf numFmtId="44" fontId="4" fillId="0" borderId="15" xfId="2" applyFont="1" applyFill="1" applyBorder="1" applyAlignment="1"/>
    <xf numFmtId="44" fontId="4" fillId="0" borderId="3" xfId="2" applyFont="1" applyFill="1" applyBorder="1" applyAlignment="1"/>
    <xf numFmtId="44" fontId="4" fillId="0" borderId="2" xfId="2" applyFont="1" applyFill="1" applyBorder="1" applyAlignment="1"/>
    <xf numFmtId="0" fontId="4" fillId="0" borderId="2" xfId="0" applyFont="1" applyBorder="1"/>
    <xf numFmtId="0" fontId="20" fillId="0" borderId="1" xfId="0" applyFont="1" applyBorder="1" applyAlignment="1">
      <alignment horizontal="right"/>
    </xf>
    <xf numFmtId="164" fontId="20" fillId="0" borderId="1" xfId="0" applyNumberFormat="1" applyFont="1" applyBorder="1"/>
    <xf numFmtId="0" fontId="20" fillId="0" borderId="1" xfId="0" applyFont="1" applyBorder="1"/>
    <xf numFmtId="0" fontId="4" fillId="0" borderId="0" xfId="0" applyFont="1"/>
    <xf numFmtId="44" fontId="4" fillId="0" borderId="21" xfId="2" applyFont="1" applyFill="1" applyBorder="1" applyAlignment="1"/>
    <xf numFmtId="164" fontId="20" fillId="0" borderId="2" xfId="0" applyNumberFormat="1" applyFont="1" applyBorder="1"/>
    <xf numFmtId="164" fontId="21" fillId="0" borderId="5" xfId="0" applyNumberFormat="1" applyFont="1" applyBorder="1"/>
    <xf numFmtId="0" fontId="25" fillId="0" borderId="0" xfId="0" applyFont="1" applyAlignment="1">
      <alignment wrapText="1"/>
    </xf>
    <xf numFmtId="0" fontId="25" fillId="0" borderId="2" xfId="0" applyFont="1" applyBorder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19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9" fontId="25" fillId="0" borderId="2" xfId="0" applyNumberFormat="1" applyFont="1" applyBorder="1" applyAlignment="1">
      <alignment horizontal="left" wrapText="1"/>
    </xf>
    <xf numFmtId="9" fontId="4" fillId="0" borderId="15" xfId="4" applyFont="1" applyFill="1" applyBorder="1" applyAlignment="1"/>
    <xf numFmtId="9" fontId="4" fillId="0" borderId="22" xfId="4" applyFont="1" applyFill="1" applyBorder="1" applyAlignment="1"/>
    <xf numFmtId="44" fontId="4" fillId="0" borderId="23" xfId="2" applyFont="1" applyFill="1" applyBorder="1" applyAlignment="1"/>
    <xf numFmtId="9" fontId="4" fillId="0" borderId="10" xfId="4" applyFont="1" applyFill="1" applyBorder="1" applyAlignment="1"/>
    <xf numFmtId="44" fontId="4" fillId="0" borderId="22" xfId="2" applyFont="1" applyFill="1" applyBorder="1" applyAlignment="1"/>
    <xf numFmtId="44" fontId="4" fillId="0" borderId="0" xfId="2" applyFont="1" applyFill="1" applyBorder="1" applyAlignment="1"/>
    <xf numFmtId="9" fontId="4" fillId="0" borderId="0" xfId="4" applyFont="1" applyFill="1" applyBorder="1" applyAlignment="1"/>
    <xf numFmtId="0" fontId="2" fillId="0" borderId="0" xfId="1" applyFill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4" fillId="0" borderId="13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/>
    <xf numFmtId="164" fontId="4" fillId="0" borderId="5" xfId="0" applyNumberFormat="1" applyFont="1" applyBorder="1"/>
    <xf numFmtId="0" fontId="4" fillId="0" borderId="11" xfId="0" applyFont="1" applyBorder="1"/>
    <xf numFmtId="0" fontId="4" fillId="0" borderId="16" xfId="0" applyFont="1" applyBorder="1"/>
    <xf numFmtId="164" fontId="4" fillId="0" borderId="11" xfId="0" applyNumberFormat="1" applyFont="1" applyBorder="1"/>
    <xf numFmtId="0" fontId="4" fillId="0" borderId="17" xfId="0" applyFont="1" applyBorder="1"/>
    <xf numFmtId="0" fontId="4" fillId="0" borderId="18" xfId="0" applyFont="1" applyBorder="1"/>
    <xf numFmtId="164" fontId="4" fillId="0" borderId="18" xfId="0" applyNumberFormat="1" applyFont="1" applyBorder="1"/>
    <xf numFmtId="0" fontId="4" fillId="0" borderId="6" xfId="0" applyFont="1" applyBorder="1"/>
    <xf numFmtId="164" fontId="4" fillId="0" borderId="6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right"/>
    </xf>
    <xf numFmtId="0" fontId="4" fillId="0" borderId="22" xfId="0" applyFont="1" applyBorder="1" applyAlignment="1">
      <alignment wrapText="1"/>
    </xf>
    <xf numFmtId="0" fontId="15" fillId="3" borderId="0" xfId="0" applyFont="1" applyFill="1"/>
    <xf numFmtId="4" fontId="22" fillId="0" borderId="0" xfId="0" applyNumberFormat="1" applyFont="1"/>
    <xf numFmtId="0" fontId="15" fillId="0" borderId="0" xfId="0" applyFont="1"/>
    <xf numFmtId="38" fontId="11" fillId="0" borderId="0" xfId="0" applyNumberFormat="1" applyFont="1"/>
    <xf numFmtId="0" fontId="6" fillId="0" borderId="0" xfId="0" applyFont="1" applyAlignment="1">
      <alignment vertical="top"/>
    </xf>
    <xf numFmtId="0" fontId="11" fillId="0" borderId="20" xfId="0" applyFont="1" applyBorder="1"/>
    <xf numFmtId="164" fontId="11" fillId="0" borderId="20" xfId="0" applyNumberFormat="1" applyFont="1" applyBorder="1"/>
    <xf numFmtId="164" fontId="11" fillId="4" borderId="0" xfId="0" applyNumberFormat="1" applyFont="1" applyFill="1"/>
    <xf numFmtId="0" fontId="11" fillId="4" borderId="0" xfId="0" applyFont="1" applyFill="1"/>
  </cellXfs>
  <cellStyles count="5">
    <cellStyle name="Comma" xfId="3" builtinId="3"/>
    <cellStyle name="Currency" xfId="2" builtinId="4"/>
    <cellStyle name="Hyperlink" xfId="1" builtinId="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1352550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C89A8-0ECB-C166-A7E6-79E78001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241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rstchildrensfinanc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4ACF-29C0-4528-9698-F568C243AFE3}">
  <sheetPr>
    <pageSetUpPr fitToPage="1"/>
  </sheetPr>
  <dimension ref="A1:I72"/>
  <sheetViews>
    <sheetView tabSelected="1" topLeftCell="A11" zoomScaleNormal="100" workbookViewId="0">
      <selection activeCell="H17" sqref="H17"/>
    </sheetView>
  </sheetViews>
  <sheetFormatPr defaultColWidth="9.140625" defaultRowHeight="20.25"/>
  <cols>
    <col min="1" max="1" width="14.5703125" style="59" customWidth="1"/>
    <col min="2" max="2" width="42.42578125" style="59" customWidth="1"/>
    <col min="3" max="3" width="1.85546875" style="59" customWidth="1"/>
    <col min="4" max="4" width="24.28515625" style="59" bestFit="1" customWidth="1"/>
    <col min="5" max="6" width="29.85546875" style="61" bestFit="1" customWidth="1"/>
    <col min="7" max="7" width="29" style="62" customWidth="1"/>
    <col min="8" max="8" width="61.85546875" style="63" customWidth="1"/>
    <col min="9" max="16384" width="9.140625" style="59"/>
  </cols>
  <sheetData>
    <row r="1" spans="1:8" ht="80.25" customHeight="1">
      <c r="A1" s="58"/>
      <c r="D1" s="60"/>
      <c r="G1" s="93"/>
    </row>
    <row r="2" spans="1:8" ht="20.65">
      <c r="A2" s="64" t="s">
        <v>0</v>
      </c>
      <c r="B2" s="65"/>
      <c r="D2" s="102" t="s">
        <v>1</v>
      </c>
      <c r="E2" s="66" t="s">
        <v>2</v>
      </c>
      <c r="F2" s="66" t="s">
        <v>3</v>
      </c>
      <c r="G2" s="92" t="s">
        <v>4</v>
      </c>
      <c r="H2" s="86" t="s">
        <v>5</v>
      </c>
    </row>
    <row r="3" spans="1:8" s="70" customFormat="1" ht="4.5" customHeight="1">
      <c r="A3" s="67"/>
      <c r="B3" s="68"/>
      <c r="D3" s="103"/>
      <c r="E3" s="69"/>
      <c r="F3" s="69"/>
      <c r="G3" s="62"/>
      <c r="H3" s="87"/>
    </row>
    <row r="4" spans="1:8">
      <c r="A4" s="71" t="s">
        <v>6</v>
      </c>
      <c r="B4" s="104"/>
      <c r="C4" s="104"/>
      <c r="D4" s="105"/>
      <c r="E4" s="72"/>
      <c r="F4" s="72"/>
      <c r="H4" s="88"/>
    </row>
    <row r="5" spans="1:8">
      <c r="A5" s="106"/>
      <c r="B5" s="107" t="s">
        <v>7</v>
      </c>
      <c r="C5" s="106"/>
      <c r="D5" s="108">
        <v>300000</v>
      </c>
      <c r="E5" s="73">
        <v>300000</v>
      </c>
      <c r="F5" s="73">
        <v>0</v>
      </c>
      <c r="G5" s="62">
        <v>1</v>
      </c>
      <c r="H5" s="88" t="s">
        <v>8</v>
      </c>
    </row>
    <row r="6" spans="1:8" ht="7.5" customHeight="1">
      <c r="A6" s="109"/>
      <c r="B6" s="110"/>
      <c r="C6" s="110"/>
      <c r="D6" s="111"/>
      <c r="E6" s="74"/>
      <c r="F6" s="74"/>
      <c r="H6" s="89"/>
    </row>
    <row r="7" spans="1:8">
      <c r="A7" s="112" t="s">
        <v>9</v>
      </c>
      <c r="B7" s="112" t="s">
        <v>10</v>
      </c>
      <c r="C7" s="112"/>
      <c r="D7" s="113">
        <v>3000</v>
      </c>
      <c r="E7" s="75">
        <v>2183.9699999999998</v>
      </c>
      <c r="F7" s="75">
        <f>D7-E7</f>
        <v>816.0300000000002</v>
      </c>
      <c r="G7" s="62">
        <f>E7/D7</f>
        <v>0.72798999999999991</v>
      </c>
      <c r="H7" s="90"/>
    </row>
    <row r="8" spans="1:8" ht="8.25" customHeight="1">
      <c r="A8" s="114"/>
      <c r="B8" s="104"/>
      <c r="C8" s="114"/>
      <c r="D8" s="115"/>
      <c r="E8" s="76"/>
      <c r="F8" s="76"/>
      <c r="H8" s="87"/>
    </row>
    <row r="9" spans="1:8">
      <c r="A9" s="78" t="s">
        <v>11</v>
      </c>
      <c r="B9" s="78" t="s">
        <v>12</v>
      </c>
      <c r="C9" s="78"/>
      <c r="D9" s="116">
        <v>200000</v>
      </c>
      <c r="E9" s="77"/>
      <c r="F9" s="77">
        <f t="shared" ref="F9:F64" si="0">D9-E9</f>
        <v>200000</v>
      </c>
      <c r="G9" s="62">
        <f t="shared" ref="G9:G64" si="1">E9/D9</f>
        <v>0</v>
      </c>
      <c r="H9" s="87" t="s">
        <v>13</v>
      </c>
    </row>
    <row r="10" spans="1:8">
      <c r="A10" s="117"/>
      <c r="B10" s="78" t="s">
        <v>14</v>
      </c>
      <c r="C10" s="118"/>
      <c r="D10" s="115">
        <v>0</v>
      </c>
      <c r="E10" s="76">
        <v>27888.58</v>
      </c>
      <c r="F10" s="76">
        <f t="shared" si="0"/>
        <v>-27888.58</v>
      </c>
      <c r="H10" s="87"/>
    </row>
    <row r="11" spans="1:8">
      <c r="A11" s="117"/>
      <c r="B11" s="78" t="s">
        <v>15</v>
      </c>
      <c r="C11" s="118"/>
      <c r="D11" s="115">
        <v>10000</v>
      </c>
      <c r="E11" s="76">
        <v>12500</v>
      </c>
      <c r="F11" s="76">
        <f t="shared" si="0"/>
        <v>-2500</v>
      </c>
      <c r="G11" s="62">
        <f t="shared" si="1"/>
        <v>1.25</v>
      </c>
      <c r="H11" s="87" t="s">
        <v>16</v>
      </c>
    </row>
    <row r="12" spans="1:8" ht="29.25">
      <c r="A12" s="114"/>
      <c r="B12" s="112" t="s">
        <v>17</v>
      </c>
      <c r="C12" s="114"/>
      <c r="D12" s="115">
        <v>210910</v>
      </c>
      <c r="E12" s="76">
        <f>212690-E11</f>
        <v>200190</v>
      </c>
      <c r="F12" s="76">
        <f t="shared" si="0"/>
        <v>10720</v>
      </c>
      <c r="G12" s="62">
        <f t="shared" si="1"/>
        <v>0.94917263287658238</v>
      </c>
      <c r="H12" s="87" t="s">
        <v>18</v>
      </c>
    </row>
    <row r="13" spans="1:8">
      <c r="A13" s="114"/>
      <c r="B13" s="114" t="s">
        <v>19</v>
      </c>
      <c r="C13" s="114"/>
      <c r="D13" s="115">
        <v>4800</v>
      </c>
      <c r="E13" s="76"/>
      <c r="F13" s="76">
        <f t="shared" si="0"/>
        <v>4800</v>
      </c>
      <c r="G13" s="62">
        <f t="shared" si="1"/>
        <v>0</v>
      </c>
      <c r="H13" s="87" t="s">
        <v>20</v>
      </c>
    </row>
    <row r="14" spans="1:8">
      <c r="A14" s="114"/>
      <c r="B14" s="114" t="s">
        <v>21</v>
      </c>
      <c r="C14" s="114"/>
      <c r="D14" s="115">
        <v>136000</v>
      </c>
      <c r="E14" s="76">
        <f>46840.1+32500+874.27-75.18+161.6</f>
        <v>80300.790000000023</v>
      </c>
      <c r="F14" s="76">
        <f t="shared" si="0"/>
        <v>55699.209999999977</v>
      </c>
      <c r="G14" s="62">
        <f t="shared" si="1"/>
        <v>0.59044698529411777</v>
      </c>
      <c r="H14" s="87" t="s">
        <v>22</v>
      </c>
    </row>
    <row r="15" spans="1:8">
      <c r="A15" s="114"/>
      <c r="B15" s="114" t="s">
        <v>23</v>
      </c>
      <c r="C15" s="114"/>
      <c r="D15" s="115">
        <v>5000</v>
      </c>
      <c r="E15" s="76">
        <v>0</v>
      </c>
      <c r="F15" s="76">
        <f t="shared" si="0"/>
        <v>5000</v>
      </c>
      <c r="G15" s="62">
        <f t="shared" si="1"/>
        <v>0</v>
      </c>
      <c r="H15" s="87" t="s">
        <v>24</v>
      </c>
    </row>
    <row r="16" spans="1:8">
      <c r="A16" s="114"/>
      <c r="B16" s="114" t="s">
        <v>25</v>
      </c>
      <c r="C16" s="114"/>
      <c r="D16" s="115">
        <v>5000</v>
      </c>
      <c r="E16" s="76">
        <v>0</v>
      </c>
      <c r="F16" s="76">
        <f t="shared" si="0"/>
        <v>5000</v>
      </c>
      <c r="G16" s="62">
        <f t="shared" si="1"/>
        <v>0</v>
      </c>
      <c r="H16" s="87"/>
    </row>
    <row r="17" spans="1:8" ht="8.25" customHeight="1">
      <c r="A17" s="114"/>
      <c r="B17" s="114" t="s">
        <v>26</v>
      </c>
      <c r="C17" s="114"/>
      <c r="D17" s="115"/>
      <c r="E17" s="76"/>
      <c r="F17" s="76"/>
      <c r="H17" s="87"/>
    </row>
    <row r="18" spans="1:8">
      <c r="A18" s="114" t="s">
        <v>27</v>
      </c>
      <c r="B18" s="114" t="s">
        <v>28</v>
      </c>
      <c r="C18" s="114"/>
      <c r="D18" s="115">
        <v>4000</v>
      </c>
      <c r="E18" s="76">
        <v>0</v>
      </c>
      <c r="F18" s="76">
        <f t="shared" si="0"/>
        <v>4000</v>
      </c>
      <c r="G18" s="62">
        <f t="shared" si="1"/>
        <v>0</v>
      </c>
      <c r="H18" s="87"/>
    </row>
    <row r="19" spans="1:8">
      <c r="A19" s="114"/>
      <c r="B19" s="114" t="s">
        <v>29</v>
      </c>
      <c r="C19" s="114"/>
      <c r="D19" s="115">
        <v>5000</v>
      </c>
      <c r="E19" s="76">
        <v>5540.64</v>
      </c>
      <c r="F19" s="76">
        <f t="shared" si="0"/>
        <v>-540.64000000000033</v>
      </c>
      <c r="G19" s="62">
        <f t="shared" si="1"/>
        <v>1.108128</v>
      </c>
      <c r="H19" s="87"/>
    </row>
    <row r="20" spans="1:8" ht="5.25" customHeight="1">
      <c r="A20" s="114"/>
      <c r="B20" s="114"/>
      <c r="C20" s="114"/>
      <c r="D20" s="115"/>
      <c r="E20" s="76"/>
      <c r="F20" s="76"/>
      <c r="H20" s="87"/>
    </row>
    <row r="21" spans="1:8" ht="19.5" customHeight="1">
      <c r="A21" s="114"/>
      <c r="B21" s="79" t="s">
        <v>30</v>
      </c>
      <c r="C21" s="114"/>
      <c r="D21" s="80">
        <f>SUM(D7:D19)</f>
        <v>583710</v>
      </c>
      <c r="E21" s="76">
        <f>SUM(E7:E19)</f>
        <v>328603.98000000004</v>
      </c>
      <c r="F21" s="76">
        <f t="shared" si="0"/>
        <v>255106.01999999996</v>
      </c>
      <c r="G21" s="62">
        <f t="shared" si="1"/>
        <v>0.56295759880762719</v>
      </c>
      <c r="H21" s="87"/>
    </row>
    <row r="22" spans="1:8" ht="6.75" customHeight="1">
      <c r="A22" s="114"/>
      <c r="B22" s="114"/>
      <c r="C22" s="114"/>
      <c r="D22" s="115"/>
      <c r="E22" s="76"/>
      <c r="F22" s="76"/>
      <c r="H22" s="87"/>
    </row>
    <row r="23" spans="1:8">
      <c r="A23" s="114"/>
      <c r="B23" s="79" t="s">
        <v>31</v>
      </c>
      <c r="C23" s="114"/>
      <c r="D23" s="115">
        <f>SUM(D5+D21)</f>
        <v>883710</v>
      </c>
      <c r="E23" s="115">
        <f>SUM(E5+E21)</f>
        <v>628603.98</v>
      </c>
      <c r="F23" s="76">
        <f t="shared" si="0"/>
        <v>255106.02000000002</v>
      </c>
      <c r="G23" s="62">
        <f t="shared" si="1"/>
        <v>0.71132382795260884</v>
      </c>
      <c r="H23" s="87"/>
    </row>
    <row r="24" spans="1:8">
      <c r="A24" s="114"/>
      <c r="B24" s="114"/>
      <c r="C24" s="114"/>
      <c r="D24" s="115"/>
      <c r="E24" s="76"/>
      <c r="F24" s="76"/>
      <c r="H24" s="87"/>
    </row>
    <row r="25" spans="1:8">
      <c r="A25" s="81" t="s">
        <v>32</v>
      </c>
      <c r="B25" s="114"/>
      <c r="C25" s="114"/>
      <c r="D25" s="115"/>
      <c r="E25" s="76"/>
      <c r="F25" s="76"/>
      <c r="H25" s="87"/>
    </row>
    <row r="26" spans="1:8">
      <c r="A26" s="114"/>
      <c r="B26" s="114" t="s">
        <v>33</v>
      </c>
      <c r="C26" s="114"/>
      <c r="D26" s="115">
        <f>'Payroll--Confidential'!C10</f>
        <v>177618</v>
      </c>
      <c r="E26" s="76">
        <v>119751.14</v>
      </c>
      <c r="F26" s="76">
        <f t="shared" si="0"/>
        <v>57866.86</v>
      </c>
      <c r="G26" s="62">
        <f t="shared" si="1"/>
        <v>0.6742061052370818</v>
      </c>
      <c r="H26" s="87" t="s">
        <v>34</v>
      </c>
    </row>
    <row r="27" spans="1:8">
      <c r="A27" s="114"/>
      <c r="B27" s="114" t="s">
        <v>35</v>
      </c>
      <c r="C27" s="114"/>
      <c r="D27" s="115">
        <f>'Payroll--Confidential'!D10</f>
        <v>17881.8</v>
      </c>
      <c r="E27" s="76">
        <f>9504.28</f>
        <v>9504.2800000000007</v>
      </c>
      <c r="F27" s="76">
        <f t="shared" si="0"/>
        <v>8377.5199999999986</v>
      </c>
      <c r="G27" s="62">
        <f t="shared" si="1"/>
        <v>0.53150577682336231</v>
      </c>
      <c r="H27" s="87"/>
    </row>
    <row r="28" spans="1:8" ht="46.9">
      <c r="A28" s="114"/>
      <c r="B28" s="114" t="s">
        <v>36</v>
      </c>
      <c r="C28" s="114"/>
      <c r="D28" s="115">
        <f>'Payroll--Confidential'!F10</f>
        <v>36000</v>
      </c>
      <c r="E28" s="76">
        <f>27891.28+250</f>
        <v>28141.279999999999</v>
      </c>
      <c r="F28" s="76">
        <f t="shared" si="0"/>
        <v>7858.7200000000012</v>
      </c>
      <c r="G28" s="62">
        <f t="shared" si="1"/>
        <v>0.78170222222222219</v>
      </c>
      <c r="H28" s="87" t="s">
        <v>37</v>
      </c>
    </row>
    <row r="29" spans="1:8">
      <c r="A29" s="114"/>
      <c r="B29" s="114" t="s">
        <v>38</v>
      </c>
      <c r="C29" s="114"/>
      <c r="D29" s="115">
        <v>1550</v>
      </c>
      <c r="E29" s="76">
        <v>266.41000000000003</v>
      </c>
      <c r="F29" s="76">
        <f t="shared" si="0"/>
        <v>1283.5899999999999</v>
      </c>
      <c r="G29" s="62">
        <f t="shared" si="1"/>
        <v>0.17187741935483872</v>
      </c>
      <c r="H29" s="87" t="s">
        <v>39</v>
      </c>
    </row>
    <row r="30" spans="1:8">
      <c r="A30" s="114"/>
      <c r="B30" s="114" t="s">
        <v>40</v>
      </c>
      <c r="C30" s="114"/>
      <c r="D30" s="115">
        <f>'Payroll--Confidential'!E10</f>
        <v>16981.8</v>
      </c>
      <c r="E30" s="76">
        <v>11423.92</v>
      </c>
      <c r="F30" s="76">
        <f t="shared" si="0"/>
        <v>5557.8799999999992</v>
      </c>
      <c r="G30" s="62">
        <f t="shared" si="1"/>
        <v>0.67271549541273601</v>
      </c>
      <c r="H30" s="91" t="s">
        <v>41</v>
      </c>
    </row>
    <row r="31" spans="1:8">
      <c r="A31" s="114"/>
      <c r="B31" s="114" t="s">
        <v>42</v>
      </c>
      <c r="C31" s="114"/>
      <c r="D31" s="115">
        <v>1200</v>
      </c>
      <c r="E31" s="76">
        <v>0</v>
      </c>
      <c r="F31" s="76">
        <f t="shared" si="0"/>
        <v>1200</v>
      </c>
      <c r="G31" s="62">
        <f t="shared" si="1"/>
        <v>0</v>
      </c>
      <c r="H31" s="87" t="s">
        <v>43</v>
      </c>
    </row>
    <row r="32" spans="1:8" ht="6.75" customHeight="1">
      <c r="A32" s="114"/>
      <c r="B32" s="114"/>
      <c r="C32" s="114"/>
      <c r="D32" s="115"/>
      <c r="E32" s="76"/>
      <c r="F32" s="76"/>
      <c r="H32" s="87"/>
    </row>
    <row r="33" spans="1:9">
      <c r="A33" s="81" t="s">
        <v>44</v>
      </c>
      <c r="B33" s="114"/>
      <c r="C33" s="114"/>
      <c r="D33" s="115">
        <f>SUM(D26:D31)</f>
        <v>251231.59999999998</v>
      </c>
      <c r="E33" s="76">
        <f>SUM(E26:E31)</f>
        <v>169087.03000000003</v>
      </c>
      <c r="F33" s="76">
        <f t="shared" si="0"/>
        <v>82144.569999999949</v>
      </c>
      <c r="G33" s="62">
        <f t="shared" si="1"/>
        <v>0.67303249272782584</v>
      </c>
      <c r="H33" s="87"/>
    </row>
    <row r="34" spans="1:9" ht="8.25" customHeight="1">
      <c r="A34" s="114"/>
      <c r="B34" s="114"/>
      <c r="C34" s="114"/>
      <c r="D34" s="115"/>
      <c r="E34" s="76"/>
      <c r="F34" s="76"/>
      <c r="H34" s="87"/>
    </row>
    <row r="35" spans="1:9">
      <c r="A35" s="114"/>
      <c r="B35" s="114" t="s">
        <v>45</v>
      </c>
      <c r="C35" s="114"/>
      <c r="D35" s="115">
        <v>20000</v>
      </c>
      <c r="E35" s="76">
        <f>3099.01+1000</f>
        <v>4099.01</v>
      </c>
      <c r="F35" s="76">
        <f t="shared" si="0"/>
        <v>15900.99</v>
      </c>
      <c r="G35" s="62">
        <f t="shared" si="1"/>
        <v>0.20495050000000001</v>
      </c>
      <c r="H35" s="87" t="s">
        <v>46</v>
      </c>
    </row>
    <row r="36" spans="1:9">
      <c r="A36" s="114"/>
      <c r="B36" s="114" t="s">
        <v>47</v>
      </c>
      <c r="C36" s="114"/>
      <c r="D36" s="115">
        <v>10000</v>
      </c>
      <c r="E36" s="76">
        <v>6445.98</v>
      </c>
      <c r="F36" s="76">
        <f t="shared" si="0"/>
        <v>3554.0200000000004</v>
      </c>
      <c r="G36" s="62">
        <f t="shared" si="1"/>
        <v>0.644598</v>
      </c>
      <c r="H36" s="87" t="s">
        <v>48</v>
      </c>
    </row>
    <row r="37" spans="1:9">
      <c r="A37" s="114"/>
      <c r="B37" s="114" t="s">
        <v>49</v>
      </c>
      <c r="C37" s="114"/>
      <c r="D37" s="115">
        <v>30000</v>
      </c>
      <c r="E37" s="76">
        <v>15500</v>
      </c>
      <c r="F37" s="76">
        <f t="shared" si="0"/>
        <v>14500</v>
      </c>
      <c r="G37" s="62">
        <f t="shared" si="1"/>
        <v>0.51666666666666672</v>
      </c>
      <c r="H37" s="87" t="s">
        <v>50</v>
      </c>
    </row>
    <row r="38" spans="1:9" ht="31.15">
      <c r="A38" s="114"/>
      <c r="B38" s="119" t="s">
        <v>51</v>
      </c>
      <c r="C38" s="114"/>
      <c r="D38" s="115">
        <v>5000</v>
      </c>
      <c r="E38" s="76">
        <v>4117.6000000000004</v>
      </c>
      <c r="F38" s="76">
        <f t="shared" si="0"/>
        <v>882.39999999999964</v>
      </c>
      <c r="G38" s="62">
        <f t="shared" si="1"/>
        <v>0.82352000000000003</v>
      </c>
      <c r="H38" s="87" t="s">
        <v>52</v>
      </c>
    </row>
    <row r="39" spans="1:9">
      <c r="A39" s="114"/>
      <c r="B39" s="114" t="s">
        <v>53</v>
      </c>
      <c r="C39" s="114"/>
      <c r="D39" s="115">
        <v>25910</v>
      </c>
      <c r="E39" s="76">
        <v>4800</v>
      </c>
      <c r="F39" s="76">
        <f t="shared" si="0"/>
        <v>21110</v>
      </c>
      <c r="G39" s="62">
        <f t="shared" si="1"/>
        <v>0.18525665766113469</v>
      </c>
      <c r="H39" s="87" t="s">
        <v>54</v>
      </c>
    </row>
    <row r="40" spans="1:9">
      <c r="A40" s="114"/>
      <c r="B40" s="114" t="s">
        <v>55</v>
      </c>
      <c r="C40" s="114"/>
      <c r="D40" s="115">
        <v>17500</v>
      </c>
      <c r="E40" s="76">
        <v>17874.5</v>
      </c>
      <c r="F40" s="76">
        <f t="shared" si="0"/>
        <v>-374.5</v>
      </c>
      <c r="G40" s="62">
        <f t="shared" si="1"/>
        <v>1.0214000000000001</v>
      </c>
      <c r="H40" s="87" t="s">
        <v>56</v>
      </c>
      <c r="I40" s="82"/>
    </row>
    <row r="41" spans="1:9">
      <c r="A41" s="114"/>
      <c r="B41" s="114" t="s">
        <v>57</v>
      </c>
      <c r="C41" s="114"/>
      <c r="D41" s="115">
        <v>25000</v>
      </c>
      <c r="E41" s="76">
        <v>15168</v>
      </c>
      <c r="F41" s="76">
        <f t="shared" si="0"/>
        <v>9832</v>
      </c>
      <c r="G41" s="62">
        <f t="shared" si="1"/>
        <v>0.60672000000000004</v>
      </c>
      <c r="H41" s="87" t="s">
        <v>58</v>
      </c>
      <c r="I41" s="82"/>
    </row>
    <row r="42" spans="1:9">
      <c r="A42" s="114"/>
      <c r="B42" s="114" t="s">
        <v>59</v>
      </c>
      <c r="C42" s="114"/>
      <c r="D42" s="115">
        <v>20000</v>
      </c>
      <c r="E42" s="76">
        <v>0</v>
      </c>
      <c r="F42" s="76">
        <f t="shared" si="0"/>
        <v>20000</v>
      </c>
      <c r="G42" s="62">
        <f t="shared" si="1"/>
        <v>0</v>
      </c>
      <c r="H42" s="87" t="s">
        <v>60</v>
      </c>
    </row>
    <row r="43" spans="1:9">
      <c r="A43" s="114"/>
      <c r="B43" s="114" t="s">
        <v>61</v>
      </c>
      <c r="C43" s="114"/>
      <c r="D43" s="115">
        <v>0</v>
      </c>
      <c r="E43" s="76">
        <v>0</v>
      </c>
      <c r="F43" s="76">
        <f t="shared" si="0"/>
        <v>0</v>
      </c>
      <c r="G43" s="62">
        <v>0</v>
      </c>
      <c r="H43" s="87" t="s">
        <v>14</v>
      </c>
    </row>
    <row r="44" spans="1:9">
      <c r="A44" s="114"/>
      <c r="B44" s="114" t="s">
        <v>62</v>
      </c>
      <c r="C44" s="114"/>
      <c r="D44" s="115">
        <v>0</v>
      </c>
      <c r="E44" s="76">
        <v>0</v>
      </c>
      <c r="F44" s="76">
        <f t="shared" si="0"/>
        <v>0</v>
      </c>
      <c r="G44" s="62">
        <v>0</v>
      </c>
      <c r="H44" s="87" t="s">
        <v>14</v>
      </c>
    </row>
    <row r="45" spans="1:9">
      <c r="A45" s="114"/>
      <c r="B45" s="114" t="s">
        <v>63</v>
      </c>
      <c r="C45" s="114"/>
      <c r="D45" s="115">
        <v>28800</v>
      </c>
      <c r="E45" s="76">
        <v>21952.85</v>
      </c>
      <c r="F45" s="76">
        <f t="shared" si="0"/>
        <v>6847.1500000000015</v>
      </c>
      <c r="G45" s="62">
        <f t="shared" si="1"/>
        <v>0.76225173611111108</v>
      </c>
      <c r="H45" s="87" t="s">
        <v>64</v>
      </c>
    </row>
    <row r="46" spans="1:9">
      <c r="A46" s="114"/>
      <c r="B46" s="114" t="s">
        <v>65</v>
      </c>
      <c r="C46" s="114"/>
      <c r="D46" s="115">
        <v>13000</v>
      </c>
      <c r="E46" s="76">
        <v>13000</v>
      </c>
      <c r="F46" s="76">
        <f t="shared" si="0"/>
        <v>0</v>
      </c>
      <c r="G46" s="62">
        <f t="shared" si="1"/>
        <v>1</v>
      </c>
      <c r="H46" s="87" t="s">
        <v>66</v>
      </c>
    </row>
    <row r="47" spans="1:9" ht="31.5">
      <c r="A47" s="114"/>
      <c r="B47" s="114" t="s">
        <v>67</v>
      </c>
      <c r="C47" s="114"/>
      <c r="D47" s="115">
        <v>10000</v>
      </c>
      <c r="E47" s="76">
        <v>0</v>
      </c>
      <c r="F47" s="76">
        <f t="shared" si="0"/>
        <v>10000</v>
      </c>
      <c r="G47" s="62">
        <f t="shared" si="1"/>
        <v>0</v>
      </c>
      <c r="H47" s="87" t="s">
        <v>68</v>
      </c>
    </row>
    <row r="48" spans="1:9">
      <c r="A48" s="114"/>
      <c r="B48" s="114" t="s">
        <v>69</v>
      </c>
      <c r="C48" s="114"/>
      <c r="D48" s="115">
        <v>0</v>
      </c>
      <c r="E48" s="76">
        <v>0</v>
      </c>
      <c r="F48" s="76">
        <f t="shared" si="0"/>
        <v>0</v>
      </c>
      <c r="G48" s="62">
        <v>0</v>
      </c>
      <c r="H48" s="87" t="s">
        <v>70</v>
      </c>
    </row>
    <row r="49" spans="1:8">
      <c r="A49" s="114"/>
      <c r="B49" s="114" t="s">
        <v>71</v>
      </c>
      <c r="C49" s="114"/>
      <c r="D49" s="115">
        <v>2000</v>
      </c>
      <c r="E49" s="76">
        <v>1482.83</v>
      </c>
      <c r="F49" s="76">
        <f t="shared" si="0"/>
        <v>517.17000000000007</v>
      </c>
      <c r="G49" s="62">
        <f t="shared" si="1"/>
        <v>0.74141499999999994</v>
      </c>
      <c r="H49" s="87"/>
    </row>
    <row r="50" spans="1:8" ht="31.5">
      <c r="A50" s="114"/>
      <c r="B50" s="114" t="s">
        <v>72</v>
      </c>
      <c r="C50" s="114"/>
      <c r="D50" s="115">
        <v>12000</v>
      </c>
      <c r="E50" s="76">
        <f>11656.3</f>
        <v>11656.3</v>
      </c>
      <c r="F50" s="76">
        <f t="shared" si="0"/>
        <v>343.70000000000073</v>
      </c>
      <c r="G50" s="62">
        <f t="shared" si="1"/>
        <v>0.97135833333333332</v>
      </c>
      <c r="H50" s="87" t="s">
        <v>73</v>
      </c>
    </row>
    <row r="51" spans="1:8">
      <c r="A51" s="114"/>
      <c r="B51" s="114" t="s">
        <v>74</v>
      </c>
      <c r="C51" s="114"/>
      <c r="D51" s="115">
        <v>1500</v>
      </c>
      <c r="E51" s="76">
        <v>2478.64</v>
      </c>
      <c r="F51" s="76">
        <f t="shared" si="0"/>
        <v>-978.63999999999987</v>
      </c>
      <c r="G51" s="62">
        <f t="shared" si="1"/>
        <v>1.6524266666666665</v>
      </c>
      <c r="H51" s="87" t="s">
        <v>75</v>
      </c>
    </row>
    <row r="52" spans="1:8">
      <c r="A52" s="114"/>
      <c r="B52" s="114" t="s">
        <v>76</v>
      </c>
      <c r="C52" s="114"/>
      <c r="D52" s="115">
        <v>500</v>
      </c>
      <c r="E52" s="76">
        <v>389.2</v>
      </c>
      <c r="F52" s="76">
        <f t="shared" si="0"/>
        <v>110.80000000000001</v>
      </c>
      <c r="G52" s="62">
        <f t="shared" si="1"/>
        <v>0.77839999999999998</v>
      </c>
      <c r="H52" s="87" t="s">
        <v>75</v>
      </c>
    </row>
    <row r="53" spans="1:8">
      <c r="A53" s="114"/>
      <c r="B53" s="114" t="s">
        <v>77</v>
      </c>
      <c r="C53" s="114"/>
      <c r="D53" s="115">
        <v>1000</v>
      </c>
      <c r="E53" s="83">
        <v>776.68</v>
      </c>
      <c r="F53" s="83">
        <f t="shared" si="0"/>
        <v>223.32000000000005</v>
      </c>
      <c r="G53" s="62">
        <f t="shared" si="1"/>
        <v>0.77667999999999993</v>
      </c>
      <c r="H53" s="87"/>
    </row>
    <row r="54" spans="1:8">
      <c r="A54" s="114"/>
      <c r="B54" s="114" t="s">
        <v>78</v>
      </c>
      <c r="C54" s="114"/>
      <c r="D54" s="115">
        <v>11000</v>
      </c>
      <c r="E54" s="76">
        <v>7054.75</v>
      </c>
      <c r="F54" s="76">
        <f t="shared" si="0"/>
        <v>3945.25</v>
      </c>
      <c r="G54" s="62">
        <f t="shared" si="1"/>
        <v>0.64134090909090913</v>
      </c>
      <c r="H54" s="87"/>
    </row>
    <row r="55" spans="1:8">
      <c r="A55" s="114"/>
      <c r="B55" s="114" t="s">
        <v>79</v>
      </c>
      <c r="C55" s="114"/>
      <c r="D55" s="115">
        <f>'Dues &amp; Subscriptions'!C16</f>
        <v>4441</v>
      </c>
      <c r="E55" s="76">
        <v>1485.57</v>
      </c>
      <c r="F55" s="76">
        <f t="shared" si="0"/>
        <v>2955.4300000000003</v>
      </c>
      <c r="G55" s="62">
        <f t="shared" si="1"/>
        <v>0.33451249718531861</v>
      </c>
      <c r="H55" s="87" t="s">
        <v>80</v>
      </c>
    </row>
    <row r="56" spans="1:8">
      <c r="A56" s="114"/>
      <c r="B56" s="114" t="s">
        <v>81</v>
      </c>
      <c r="C56" s="114"/>
      <c r="D56" s="115">
        <v>18000</v>
      </c>
      <c r="E56" s="76">
        <v>10862</v>
      </c>
      <c r="F56" s="76">
        <f t="shared" si="0"/>
        <v>7138</v>
      </c>
      <c r="G56" s="62">
        <f t="shared" si="1"/>
        <v>0.60344444444444445</v>
      </c>
      <c r="H56" s="87" t="s">
        <v>82</v>
      </c>
    </row>
    <row r="57" spans="1:8">
      <c r="A57" s="114"/>
      <c r="B57" s="114" t="s">
        <v>83</v>
      </c>
      <c r="C57" s="114"/>
      <c r="D57" s="115">
        <f>'Administrative Expenses'!B8</f>
        <v>9850</v>
      </c>
      <c r="E57" s="76">
        <v>11716.91</v>
      </c>
      <c r="F57" s="76">
        <f t="shared" si="0"/>
        <v>-1866.9099999999999</v>
      </c>
      <c r="G57" s="62">
        <f t="shared" si="1"/>
        <v>1.1895340101522842</v>
      </c>
      <c r="H57" s="87"/>
    </row>
    <row r="58" spans="1:8">
      <c r="A58" s="114"/>
      <c r="B58" s="114" t="s">
        <v>84</v>
      </c>
      <c r="C58" s="114"/>
      <c r="D58" s="115">
        <v>21400</v>
      </c>
      <c r="E58" s="76">
        <v>16200</v>
      </c>
      <c r="F58" s="76">
        <f t="shared" si="0"/>
        <v>5200</v>
      </c>
      <c r="G58" s="62">
        <f t="shared" si="1"/>
        <v>0.7570093457943925</v>
      </c>
      <c r="H58" s="87" t="s">
        <v>85</v>
      </c>
    </row>
    <row r="59" spans="1:8">
      <c r="A59" s="114"/>
      <c r="B59" s="114" t="s">
        <v>86</v>
      </c>
      <c r="C59" s="114"/>
      <c r="D59" s="115">
        <v>1000</v>
      </c>
      <c r="E59" s="76">
        <v>0</v>
      </c>
      <c r="F59" s="76">
        <f t="shared" si="0"/>
        <v>1000</v>
      </c>
      <c r="G59" s="62">
        <f t="shared" si="1"/>
        <v>0</v>
      </c>
      <c r="H59" s="87" t="s">
        <v>87</v>
      </c>
    </row>
    <row r="60" spans="1:8">
      <c r="A60" s="114"/>
      <c r="B60" s="114" t="s">
        <v>88</v>
      </c>
      <c r="C60" s="114"/>
      <c r="D60" s="115">
        <v>250</v>
      </c>
      <c r="E60" s="76">
        <v>0</v>
      </c>
      <c r="F60" s="76">
        <f t="shared" si="0"/>
        <v>250</v>
      </c>
      <c r="G60" s="62">
        <f t="shared" si="1"/>
        <v>0</v>
      </c>
      <c r="H60" s="87"/>
    </row>
    <row r="61" spans="1:8">
      <c r="A61" s="120" t="s">
        <v>89</v>
      </c>
      <c r="B61" s="121"/>
      <c r="C61" s="114"/>
      <c r="D61" s="105">
        <f>SUM(D35:D60)</f>
        <v>288151</v>
      </c>
      <c r="E61" s="76">
        <f>SUM(E35:E60)</f>
        <v>167060.82</v>
      </c>
      <c r="F61" s="76">
        <f t="shared" si="0"/>
        <v>121090.18</v>
      </c>
      <c r="G61" s="62">
        <f t="shared" si="1"/>
        <v>0.57976831591769595</v>
      </c>
      <c r="H61" s="87"/>
    </row>
    <row r="62" spans="1:8">
      <c r="A62" s="114"/>
      <c r="B62" s="79" t="s">
        <v>90</v>
      </c>
      <c r="C62" s="117"/>
      <c r="D62" s="84">
        <f>SUM(D33+D61)</f>
        <v>539382.6</v>
      </c>
      <c r="E62" s="76">
        <f>E61+E33</f>
        <v>336147.85000000003</v>
      </c>
      <c r="F62" s="76">
        <f t="shared" si="0"/>
        <v>203234.74999999994</v>
      </c>
      <c r="G62" s="62">
        <f t="shared" si="1"/>
        <v>0.62320855363150396</v>
      </c>
      <c r="H62" s="87"/>
    </row>
    <row r="63" spans="1:8" ht="6" customHeight="1">
      <c r="A63" s="114"/>
      <c r="B63" s="114"/>
      <c r="C63" s="114"/>
      <c r="D63" s="113"/>
      <c r="E63" s="76"/>
      <c r="F63" s="76"/>
      <c r="H63" s="87"/>
    </row>
    <row r="64" spans="1:8">
      <c r="C64" s="104"/>
      <c r="D64" s="85">
        <f>SUM(D21-D62)</f>
        <v>44327.400000000023</v>
      </c>
      <c r="E64" s="85">
        <f>SUM(E21-E62)</f>
        <v>-7543.8699999999953</v>
      </c>
      <c r="F64" s="85">
        <f t="shared" si="0"/>
        <v>51871.270000000019</v>
      </c>
      <c r="G64" s="95">
        <f t="shared" si="1"/>
        <v>-0.17018525787661787</v>
      </c>
      <c r="H64" s="88"/>
    </row>
    <row r="65" spans="1:8" ht="7.5" customHeight="1">
      <c r="A65" s="101"/>
      <c r="B65" s="122"/>
      <c r="C65" s="106"/>
      <c r="D65" s="108"/>
      <c r="E65" s="94"/>
      <c r="F65" s="96"/>
      <c r="G65" s="93"/>
      <c r="H65" s="123"/>
    </row>
    <row r="66" spans="1:8" ht="18" customHeight="1">
      <c r="A66" s="99" t="s">
        <v>26</v>
      </c>
      <c r="B66" s="100"/>
      <c r="C66" s="100"/>
      <c r="D66" s="100"/>
      <c r="F66" s="97"/>
      <c r="G66" s="98"/>
    </row>
    <row r="67" spans="1:8">
      <c r="F67" s="97"/>
      <c r="G67" s="98"/>
    </row>
    <row r="68" spans="1:8">
      <c r="F68" s="97"/>
      <c r="G68" s="98"/>
    </row>
    <row r="69" spans="1:8">
      <c r="F69" s="97"/>
      <c r="G69" s="98"/>
    </row>
    <row r="70" spans="1:8">
      <c r="F70" s="97"/>
      <c r="G70" s="98"/>
    </row>
    <row r="71" spans="1:8">
      <c r="F71" s="97"/>
      <c r="G71" s="98"/>
    </row>
    <row r="72" spans="1:8">
      <c r="F72" s="97"/>
      <c r="G72" s="98"/>
    </row>
  </sheetData>
  <mergeCells count="3">
    <mergeCell ref="A66:D66"/>
    <mergeCell ref="A61:B61"/>
    <mergeCell ref="A65:B65"/>
  </mergeCells>
  <phoneticPr fontId="0" type="noConversion"/>
  <hyperlinks>
    <hyperlink ref="A66" r:id="rId1" display="www.FirstChildrensFinance.org" xr:uid="{9C85C4D1-1547-4446-8E95-39638705D586}"/>
  </hyperlinks>
  <printOptions horizontalCentered="1"/>
  <pageMargins left="0.5" right="0.5" top="0.81" bottom="0.74" header="0.25" footer="0.32"/>
  <pageSetup scale="54" orientation="portrait" r:id="rId2"/>
  <headerFooter alignWithMargins="0">
    <oddHeader xml:space="preserve">&amp;R
</oddHeader>
    <oddFooter>&amp;CPage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59A-52D6-41ED-B6C7-60BD80F54A89}">
  <dimension ref="A1:I43"/>
  <sheetViews>
    <sheetView topLeftCell="A17" workbookViewId="0">
      <selection activeCell="D25" sqref="D25"/>
    </sheetView>
  </sheetViews>
  <sheetFormatPr defaultRowHeight="12.75"/>
  <cols>
    <col min="1" max="1" width="16.28515625" bestFit="1" customWidth="1"/>
    <col min="2" max="2" width="29" style="11" bestFit="1" customWidth="1"/>
    <col min="3" max="3" width="10.7109375" bestFit="1" customWidth="1"/>
    <col min="4" max="4" width="14" customWidth="1"/>
    <col min="5" max="5" width="13.85546875" style="11" bestFit="1" customWidth="1"/>
    <col min="6" max="6" width="13.85546875" style="11" customWidth="1"/>
    <col min="7" max="7" width="12" bestFit="1" customWidth="1"/>
    <col min="8" max="8" width="37.140625" style="11" customWidth="1"/>
    <col min="9" max="9" width="33.28515625" customWidth="1"/>
  </cols>
  <sheetData>
    <row r="1" spans="1:9" ht="15.75">
      <c r="A1" s="1" t="s">
        <v>91</v>
      </c>
      <c r="D1" s="2"/>
      <c r="E1" s="14"/>
      <c r="F1" s="14"/>
    </row>
    <row r="2" spans="1:9" ht="33.75" customHeight="1">
      <c r="A2" s="4" t="s">
        <v>92</v>
      </c>
      <c r="B2" s="12" t="s">
        <v>93</v>
      </c>
      <c r="C2" s="4" t="s">
        <v>94</v>
      </c>
      <c r="D2" s="5" t="s">
        <v>95</v>
      </c>
      <c r="E2" s="12" t="s">
        <v>96</v>
      </c>
      <c r="F2" s="12" t="s">
        <v>97</v>
      </c>
      <c r="G2" s="4" t="s">
        <v>98</v>
      </c>
      <c r="H2" s="12" t="s">
        <v>99</v>
      </c>
      <c r="I2" s="6"/>
    </row>
    <row r="3" spans="1:9" ht="30.75" customHeight="1">
      <c r="A3" t="s">
        <v>100</v>
      </c>
      <c r="B3" s="11" t="s">
        <v>101</v>
      </c>
      <c r="D3" s="2"/>
      <c r="E3" s="14"/>
      <c r="F3" s="14"/>
      <c r="H3" s="11" t="s">
        <v>102</v>
      </c>
      <c r="I3" s="7"/>
    </row>
    <row r="4" spans="1:9" ht="15.75">
      <c r="A4" t="s">
        <v>100</v>
      </c>
      <c r="B4" s="11" t="s">
        <v>103</v>
      </c>
      <c r="D4" s="2">
        <v>5000</v>
      </c>
      <c r="E4" s="14" t="s">
        <v>104</v>
      </c>
      <c r="F4" s="14"/>
      <c r="H4" s="11" t="s">
        <v>105</v>
      </c>
      <c r="I4" s="8"/>
    </row>
    <row r="5" spans="1:9" ht="25.5">
      <c r="A5" t="s">
        <v>100</v>
      </c>
      <c r="B5" s="11" t="s">
        <v>106</v>
      </c>
      <c r="D5" s="2">
        <v>5000</v>
      </c>
      <c r="E5" s="14"/>
      <c r="F5" s="14"/>
      <c r="H5" s="11" t="s">
        <v>107</v>
      </c>
    </row>
    <row r="6" spans="1:9">
      <c r="A6" t="s">
        <v>100</v>
      </c>
      <c r="B6" s="11" t="s">
        <v>108</v>
      </c>
      <c r="D6" s="2">
        <v>0</v>
      </c>
      <c r="E6" s="14" t="s">
        <v>104</v>
      </c>
      <c r="F6" s="14"/>
      <c r="H6" s="11" t="s">
        <v>109</v>
      </c>
    </row>
    <row r="7" spans="1:9">
      <c r="A7" t="s">
        <v>100</v>
      </c>
      <c r="B7" s="11" t="s">
        <v>110</v>
      </c>
      <c r="D7" s="2"/>
      <c r="E7" s="14"/>
      <c r="F7" s="14"/>
      <c r="H7" s="11" t="s">
        <v>111</v>
      </c>
    </row>
    <row r="8" spans="1:9">
      <c r="A8" t="s">
        <v>100</v>
      </c>
      <c r="B8" s="11" t="s">
        <v>112</v>
      </c>
      <c r="D8" s="2"/>
      <c r="E8" s="14"/>
      <c r="F8" s="14"/>
      <c r="H8" s="11" t="s">
        <v>111</v>
      </c>
    </row>
    <row r="9" spans="1:9">
      <c r="A9" t="s">
        <v>100</v>
      </c>
      <c r="B9" s="11" t="s">
        <v>113</v>
      </c>
      <c r="D9" s="2"/>
      <c r="E9" s="14"/>
      <c r="F9" s="14"/>
      <c r="H9" s="11" t="s">
        <v>114</v>
      </c>
    </row>
    <row r="10" spans="1:9">
      <c r="A10" t="s">
        <v>100</v>
      </c>
      <c r="B10" s="11" t="s">
        <v>115</v>
      </c>
      <c r="D10" s="2"/>
      <c r="E10" s="14"/>
      <c r="F10" s="14"/>
      <c r="H10" s="11" t="s">
        <v>111</v>
      </c>
    </row>
    <row r="11" spans="1:9">
      <c r="A11" t="s">
        <v>100</v>
      </c>
      <c r="B11" s="11" t="s">
        <v>116</v>
      </c>
      <c r="D11" s="2"/>
      <c r="E11" s="14"/>
      <c r="F11" s="14"/>
      <c r="H11" s="11" t="s">
        <v>111</v>
      </c>
    </row>
    <row r="12" spans="1:9">
      <c r="A12" t="s">
        <v>100</v>
      </c>
      <c r="B12" s="11" t="s">
        <v>117</v>
      </c>
      <c r="D12" s="2"/>
      <c r="E12" s="14"/>
      <c r="F12" s="14"/>
    </row>
    <row r="13" spans="1:9" ht="15.75">
      <c r="A13" s="1" t="s">
        <v>118</v>
      </c>
      <c r="D13" s="9">
        <f>SUM(D4:D8)</f>
        <v>10000</v>
      </c>
      <c r="E13" s="14"/>
      <c r="F13" s="14"/>
    </row>
    <row r="14" spans="1:9" ht="15.75">
      <c r="A14" s="1"/>
      <c r="D14" s="9"/>
      <c r="E14" s="14"/>
      <c r="F14" s="14"/>
    </row>
    <row r="15" spans="1:9" ht="15.75">
      <c r="A15" s="1" t="s">
        <v>119</v>
      </c>
      <c r="D15" s="2"/>
      <c r="E15" s="14"/>
      <c r="F15" s="14"/>
    </row>
    <row r="16" spans="1:9" ht="26.25" customHeight="1">
      <c r="B16" s="57" t="s">
        <v>120</v>
      </c>
      <c r="D16" s="2">
        <v>0</v>
      </c>
      <c r="E16" s="14" t="s">
        <v>104</v>
      </c>
      <c r="F16" s="14"/>
      <c r="H16" s="11" t="s">
        <v>121</v>
      </c>
    </row>
    <row r="17" spans="2:9">
      <c r="B17" s="16" t="s">
        <v>122</v>
      </c>
      <c r="D17" s="2">
        <v>0</v>
      </c>
      <c r="E17" s="14"/>
      <c r="F17" s="14" t="s">
        <v>123</v>
      </c>
      <c r="H17" s="11" t="s">
        <v>124</v>
      </c>
    </row>
    <row r="18" spans="2:9">
      <c r="B18" s="11" t="s">
        <v>125</v>
      </c>
      <c r="D18" s="2">
        <v>0</v>
      </c>
      <c r="E18" s="15">
        <v>45713</v>
      </c>
      <c r="F18" s="15" t="s">
        <v>123</v>
      </c>
      <c r="H18" s="11" t="s">
        <v>126</v>
      </c>
    </row>
    <row r="19" spans="2:9">
      <c r="B19" s="11" t="s">
        <v>127</v>
      </c>
      <c r="D19" s="2">
        <v>0</v>
      </c>
      <c r="E19" s="15"/>
      <c r="F19" s="15"/>
      <c r="H19" s="11" t="s">
        <v>128</v>
      </c>
    </row>
    <row r="20" spans="2:9">
      <c r="B20" s="11" t="s">
        <v>129</v>
      </c>
      <c r="D20" s="2">
        <v>65000</v>
      </c>
      <c r="E20" s="15"/>
      <c r="F20" s="15"/>
      <c r="H20" s="11" t="s">
        <v>130</v>
      </c>
    </row>
    <row r="21" spans="2:9">
      <c r="B21" s="57" t="s">
        <v>131</v>
      </c>
      <c r="C21" s="3">
        <v>2021</v>
      </c>
      <c r="D21" s="2">
        <v>25000</v>
      </c>
      <c r="E21" s="14" t="s">
        <v>104</v>
      </c>
      <c r="F21" s="14"/>
      <c r="H21" s="11" t="s">
        <v>132</v>
      </c>
      <c r="I21" t="s">
        <v>133</v>
      </c>
    </row>
    <row r="22" spans="2:9">
      <c r="B22" s="11" t="s">
        <v>134</v>
      </c>
      <c r="D22" s="2">
        <v>0</v>
      </c>
      <c r="E22" s="14" t="s">
        <v>135</v>
      </c>
      <c r="F22" s="14"/>
      <c r="H22" s="11" t="s">
        <v>136</v>
      </c>
    </row>
    <row r="23" spans="2:9">
      <c r="B23" s="11" t="s">
        <v>137</v>
      </c>
      <c r="D23" s="2"/>
      <c r="E23" s="14" t="s">
        <v>138</v>
      </c>
      <c r="F23" s="14"/>
      <c r="H23" s="11" t="s">
        <v>139</v>
      </c>
    </row>
    <row r="24" spans="2:9" ht="50.25" customHeight="1">
      <c r="B24" s="57" t="s">
        <v>140</v>
      </c>
      <c r="D24" s="2">
        <v>75000</v>
      </c>
      <c r="E24" s="14" t="s">
        <v>141</v>
      </c>
      <c r="F24" s="14" t="s">
        <v>142</v>
      </c>
      <c r="H24" s="11" t="s">
        <v>143</v>
      </c>
      <c r="I24" t="s">
        <v>144</v>
      </c>
    </row>
    <row r="25" spans="2:9">
      <c r="B25" s="11" t="s">
        <v>145</v>
      </c>
      <c r="D25" s="2">
        <v>15910</v>
      </c>
      <c r="E25" s="14" t="s">
        <v>146</v>
      </c>
      <c r="F25" s="14"/>
      <c r="H25" s="11" t="s">
        <v>147</v>
      </c>
      <c r="I25" t="s">
        <v>148</v>
      </c>
    </row>
    <row r="26" spans="2:9">
      <c r="B26" s="124" t="s">
        <v>149</v>
      </c>
      <c r="D26" s="2"/>
      <c r="E26" s="14"/>
      <c r="F26" s="14"/>
    </row>
    <row r="27" spans="2:9">
      <c r="B27" s="11" t="s">
        <v>150</v>
      </c>
      <c r="D27" s="2"/>
      <c r="E27" s="14"/>
      <c r="F27" s="14"/>
    </row>
    <row r="28" spans="2:9" ht="25.5">
      <c r="B28" s="11" t="s">
        <v>151</v>
      </c>
      <c r="C28">
        <v>2025</v>
      </c>
      <c r="D28" s="125">
        <v>30000</v>
      </c>
      <c r="E28" s="14" t="s">
        <v>152</v>
      </c>
      <c r="F28" s="14" t="s">
        <v>153</v>
      </c>
      <c r="G28" s="13">
        <v>46174</v>
      </c>
      <c r="H28" s="11" t="s">
        <v>154</v>
      </c>
    </row>
    <row r="29" spans="2:9">
      <c r="B29" s="126" t="s">
        <v>155</v>
      </c>
      <c r="D29" s="2"/>
      <c r="E29" s="14"/>
      <c r="F29" s="14"/>
      <c r="G29" s="13"/>
    </row>
    <row r="30" spans="2:9" ht="66.75" customHeight="1">
      <c r="B30" s="11" t="s">
        <v>156</v>
      </c>
      <c r="D30" s="2"/>
      <c r="E30" s="14"/>
      <c r="F30" s="14" t="s">
        <v>157</v>
      </c>
      <c r="H30" s="11" t="s">
        <v>158</v>
      </c>
    </row>
    <row r="31" spans="2:9" ht="27" customHeight="1">
      <c r="B31" s="57" t="s">
        <v>159</v>
      </c>
      <c r="D31" s="2"/>
      <c r="E31" s="14"/>
      <c r="F31" s="14"/>
      <c r="H31" s="11" t="s">
        <v>160</v>
      </c>
      <c r="I31" t="s">
        <v>161</v>
      </c>
    </row>
    <row r="32" spans="2:9" ht="25.5">
      <c r="B32" s="11" t="s">
        <v>162</v>
      </c>
      <c r="D32" s="2"/>
      <c r="E32" s="15">
        <v>45717</v>
      </c>
      <c r="F32" s="14" t="s">
        <v>123</v>
      </c>
      <c r="H32" s="11" t="s">
        <v>163</v>
      </c>
      <c r="I32" t="s">
        <v>164</v>
      </c>
    </row>
    <row r="33" spans="2:9" ht="25.5">
      <c r="B33" s="11" t="s">
        <v>165</v>
      </c>
      <c r="D33" s="2"/>
      <c r="E33" s="14"/>
      <c r="F33" s="14"/>
      <c r="H33" s="11" t="s">
        <v>166</v>
      </c>
    </row>
    <row r="34" spans="2:9">
      <c r="B34" s="11" t="s">
        <v>167</v>
      </c>
      <c r="D34" s="2"/>
      <c r="E34" s="14"/>
      <c r="F34" s="14"/>
      <c r="H34" s="11" t="s">
        <v>168</v>
      </c>
    </row>
    <row r="35" spans="2:9">
      <c r="B35" s="11" t="s">
        <v>169</v>
      </c>
      <c r="D35" s="2">
        <v>0</v>
      </c>
      <c r="E35" s="14"/>
      <c r="F35" s="14"/>
      <c r="H35" s="11" t="s">
        <v>170</v>
      </c>
    </row>
    <row r="36" spans="2:9" ht="38.25">
      <c r="B36" s="11" t="s">
        <v>171</v>
      </c>
      <c r="D36" s="2">
        <v>0</v>
      </c>
      <c r="E36" s="14"/>
      <c r="F36" s="14" t="s">
        <v>123</v>
      </c>
      <c r="H36" s="11" t="s">
        <v>172</v>
      </c>
    </row>
    <row r="37" spans="2:9">
      <c r="B37" s="11" t="s">
        <v>173</v>
      </c>
      <c r="D37" s="2"/>
      <c r="E37" s="14"/>
      <c r="F37" s="14"/>
      <c r="H37" s="11" t="s">
        <v>168</v>
      </c>
    </row>
    <row r="38" spans="2:9">
      <c r="B38" s="57" t="s">
        <v>174</v>
      </c>
      <c r="D38" s="2">
        <v>0</v>
      </c>
      <c r="E38" s="14"/>
      <c r="F38" s="14"/>
      <c r="H38" s="11" t="s">
        <v>175</v>
      </c>
      <c r="I38" t="s">
        <v>176</v>
      </c>
    </row>
    <row r="39" spans="2:9" ht="25.5">
      <c r="B39" s="11" t="s">
        <v>177</v>
      </c>
      <c r="D39" s="2"/>
      <c r="E39" s="14"/>
      <c r="F39" s="14"/>
      <c r="H39" s="11" t="s">
        <v>178</v>
      </c>
    </row>
    <row r="40" spans="2:9" ht="36" customHeight="1">
      <c r="B40" s="11" t="s">
        <v>179</v>
      </c>
      <c r="D40" s="2"/>
      <c r="E40" s="14"/>
      <c r="F40" s="14"/>
      <c r="H40" s="11" t="s">
        <v>180</v>
      </c>
    </row>
    <row r="41" spans="2:9" ht="15.75">
      <c r="B41" s="17" t="s">
        <v>181</v>
      </c>
      <c r="D41" s="9">
        <f>SUM(D17:D40)</f>
        <v>210910</v>
      </c>
      <c r="E41" s="14"/>
      <c r="F41" s="14"/>
    </row>
    <row r="42" spans="2:9">
      <c r="D42" s="10">
        <f>D13</f>
        <v>10000</v>
      </c>
      <c r="E42" s="14"/>
      <c r="F42" s="14"/>
    </row>
    <row r="43" spans="2:9" ht="15.75">
      <c r="B43" s="17" t="s">
        <v>182</v>
      </c>
      <c r="D43" s="2">
        <f>SUM(D41:D42)</f>
        <v>220910</v>
      </c>
      <c r="E43" s="14"/>
      <c r="F43" s="14"/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53C5-30D3-475C-9733-9BBC539ED42F}">
  <dimension ref="A1:I14"/>
  <sheetViews>
    <sheetView workbookViewId="0">
      <selection activeCell="A12" sqref="A12"/>
    </sheetView>
  </sheetViews>
  <sheetFormatPr defaultRowHeight="12.75"/>
  <cols>
    <col min="1" max="1" width="27.7109375" customWidth="1"/>
    <col min="2" max="2" width="15.7109375" customWidth="1"/>
    <col min="3" max="3" width="14.5703125" customWidth="1"/>
    <col min="5" max="5" width="13.28515625" customWidth="1"/>
    <col min="6" max="6" width="10.42578125" customWidth="1"/>
  </cols>
  <sheetData>
    <row r="1" spans="1:9" ht="14.25">
      <c r="A1" s="41" t="s">
        <v>183</v>
      </c>
      <c r="B1" s="42"/>
      <c r="C1" s="42"/>
      <c r="D1" s="42"/>
      <c r="E1" s="42"/>
      <c r="F1" s="42"/>
      <c r="G1" s="42"/>
      <c r="H1" s="41"/>
      <c r="I1" s="42"/>
    </row>
    <row r="2" spans="1:9" ht="14.25">
      <c r="A2" s="41" t="s">
        <v>184</v>
      </c>
      <c r="B2" s="42"/>
      <c r="C2" s="42"/>
      <c r="D2" s="42"/>
      <c r="E2" s="42"/>
      <c r="F2" s="42"/>
      <c r="G2" s="42"/>
      <c r="H2" s="41"/>
      <c r="I2" s="42"/>
    </row>
    <row r="3" spans="1:9" ht="14.25">
      <c r="A3" s="41" t="s">
        <v>185</v>
      </c>
      <c r="B3" s="42"/>
      <c r="C3" s="42"/>
      <c r="D3" s="42"/>
      <c r="E3" s="42"/>
      <c r="F3" s="42"/>
      <c r="G3" s="42"/>
      <c r="H3" s="41"/>
      <c r="I3" s="42"/>
    </row>
    <row r="4" spans="1:9" ht="14.25">
      <c r="A4" s="41"/>
      <c r="B4" s="42"/>
      <c r="C4" s="42"/>
      <c r="D4" s="42"/>
      <c r="E4" s="42"/>
      <c r="F4" s="42"/>
      <c r="G4" s="42"/>
      <c r="H4" s="41"/>
      <c r="I4" s="42"/>
    </row>
    <row r="5" spans="1:9" ht="14.25">
      <c r="A5" s="43" t="s">
        <v>186</v>
      </c>
      <c r="B5" s="42"/>
      <c r="C5" s="44"/>
      <c r="D5" s="44" t="s">
        <v>33</v>
      </c>
      <c r="E5" s="44" t="s">
        <v>187</v>
      </c>
      <c r="F5" s="44" t="s">
        <v>188</v>
      </c>
      <c r="G5" s="44" t="s">
        <v>27</v>
      </c>
      <c r="H5" s="45"/>
      <c r="I5" s="44"/>
    </row>
    <row r="6" spans="1:9" ht="14.25">
      <c r="A6" s="42"/>
      <c r="B6" s="42"/>
      <c r="C6" s="46" t="s">
        <v>189</v>
      </c>
      <c r="D6" s="46" t="s">
        <v>190</v>
      </c>
      <c r="E6" s="46" t="s">
        <v>191</v>
      </c>
      <c r="F6" s="46" t="s">
        <v>192</v>
      </c>
      <c r="G6" s="46" t="s">
        <v>193</v>
      </c>
      <c r="H6" s="47" t="s">
        <v>194</v>
      </c>
      <c r="I6" s="46" t="s">
        <v>195</v>
      </c>
    </row>
    <row r="7" spans="1:9" ht="14.25">
      <c r="A7" s="42" t="s">
        <v>196</v>
      </c>
      <c r="B7" s="42" t="s">
        <v>197</v>
      </c>
      <c r="C7" s="42">
        <v>107500</v>
      </c>
      <c r="D7" s="42">
        <f t="shared" ref="D7" si="0">SUM(C7+G7)*0.1</f>
        <v>10810</v>
      </c>
      <c r="E7" s="42">
        <f>SUM(C7*0.1)</f>
        <v>10750</v>
      </c>
      <c r="F7" s="42">
        <f>1500*12</f>
        <v>18000</v>
      </c>
      <c r="G7" s="42">
        <f>50*12</f>
        <v>600</v>
      </c>
      <c r="H7" s="41">
        <f>SUM(C7:G7)</f>
        <v>147660</v>
      </c>
      <c r="I7" s="42"/>
    </row>
    <row r="8" spans="1:9" ht="14.25">
      <c r="A8" s="42" t="s">
        <v>198</v>
      </c>
      <c r="B8" s="42" t="s">
        <v>199</v>
      </c>
      <c r="C8" s="42">
        <v>62318</v>
      </c>
      <c r="D8" s="42">
        <f t="shared" ref="D8" si="1">SUM(C8*0.1)</f>
        <v>6231.8</v>
      </c>
      <c r="E8" s="42">
        <f>SUM(C8*0.1)</f>
        <v>6231.8</v>
      </c>
      <c r="F8" s="42">
        <f>1500*12</f>
        <v>18000</v>
      </c>
      <c r="G8" s="42">
        <f>50*12</f>
        <v>600</v>
      </c>
      <c r="H8" s="41">
        <f>SUM(C8:G8)</f>
        <v>93381.6</v>
      </c>
      <c r="I8" s="48"/>
    </row>
    <row r="9" spans="1:9" ht="14.25">
      <c r="A9" s="42" t="s">
        <v>200</v>
      </c>
      <c r="B9" s="42" t="s">
        <v>201</v>
      </c>
      <c r="C9" s="49">
        <f>SUM(10*15*52)</f>
        <v>7800</v>
      </c>
      <c r="D9" s="49">
        <f>SUM((C9+G9)*0.1)</f>
        <v>840</v>
      </c>
      <c r="E9" s="49">
        <v>0</v>
      </c>
      <c r="F9" s="49">
        <v>0</v>
      </c>
      <c r="G9" s="49">
        <f>50*12</f>
        <v>600</v>
      </c>
      <c r="H9" s="50">
        <f>SUM(C9:G9)</f>
        <v>9240</v>
      </c>
      <c r="I9" s="48"/>
    </row>
    <row r="10" spans="1:9" ht="14.25">
      <c r="A10" s="127" t="s">
        <v>202</v>
      </c>
      <c r="B10" s="42"/>
      <c r="C10" s="42">
        <f t="shared" ref="C10:H10" si="2">SUM(C7:C9)</f>
        <v>177618</v>
      </c>
      <c r="D10" s="42">
        <f>SUM(D7:D9)</f>
        <v>17881.8</v>
      </c>
      <c r="E10" s="42">
        <f>SUM(E7:E9)</f>
        <v>16981.8</v>
      </c>
      <c r="F10" s="42">
        <f>SUM(F7:F9)</f>
        <v>36000</v>
      </c>
      <c r="G10" s="42">
        <f t="shared" si="2"/>
        <v>1800</v>
      </c>
      <c r="H10" s="41">
        <f t="shared" si="2"/>
        <v>250281.60000000001</v>
      </c>
      <c r="I10" s="42"/>
    </row>
    <row r="11" spans="1:9" ht="14.25">
      <c r="A11" s="42"/>
      <c r="B11" s="42"/>
      <c r="C11" s="42"/>
      <c r="D11" s="42"/>
      <c r="E11" s="42"/>
      <c r="F11" s="42"/>
      <c r="G11" s="42"/>
      <c r="H11" s="41"/>
      <c r="I11" s="42"/>
    </row>
    <row r="12" spans="1:9" ht="14.25">
      <c r="A12" s="42"/>
      <c r="B12" s="42"/>
      <c r="C12" s="42"/>
      <c r="D12" s="42"/>
      <c r="E12" s="42"/>
      <c r="F12" s="42"/>
      <c r="G12" s="42"/>
      <c r="H12" s="41"/>
      <c r="I12" s="42"/>
    </row>
    <row r="13" spans="1:9" ht="14.25">
      <c r="A13" s="42"/>
      <c r="B13" s="42"/>
      <c r="C13" s="42"/>
      <c r="D13" s="42"/>
      <c r="E13" s="42"/>
      <c r="F13" s="42"/>
      <c r="G13" s="42"/>
      <c r="H13" s="41"/>
      <c r="I13" s="42"/>
    </row>
    <row r="14" spans="1:9" ht="14.25">
      <c r="A14" s="42"/>
      <c r="B14" s="42"/>
      <c r="C14" s="51"/>
      <c r="D14" s="42"/>
      <c r="E14" s="42"/>
      <c r="F14" s="42"/>
      <c r="G14" s="42"/>
      <c r="H14" s="41"/>
      <c r="I14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70E8-59A0-4CA8-8A12-B11D3E08CDA3}">
  <dimension ref="A1:D26"/>
  <sheetViews>
    <sheetView workbookViewId="0">
      <selection activeCell="D14" sqref="D14"/>
    </sheetView>
  </sheetViews>
  <sheetFormatPr defaultRowHeight="12.75"/>
  <cols>
    <col min="1" max="1" width="22.28515625" bestFit="1" customWidth="1"/>
    <col min="2" max="2" width="27" bestFit="1" customWidth="1"/>
    <col min="3" max="3" width="12.7109375" bestFit="1" customWidth="1"/>
  </cols>
  <sheetData>
    <row r="1" spans="1:4" ht="14.25">
      <c r="A1" s="18" t="s">
        <v>203</v>
      </c>
      <c r="B1" s="18"/>
      <c r="C1" s="19" t="s">
        <v>204</v>
      </c>
      <c r="D1" s="18" t="s">
        <v>205</v>
      </c>
    </row>
    <row r="2" spans="1:4">
      <c r="B2" t="s">
        <v>206</v>
      </c>
      <c r="C2" s="21">
        <v>480</v>
      </c>
      <c r="D2" t="s">
        <v>207</v>
      </c>
    </row>
    <row r="3" spans="1:4">
      <c r="B3" t="s">
        <v>208</v>
      </c>
      <c r="C3" s="21">
        <v>139</v>
      </c>
      <c r="D3" t="s">
        <v>209</v>
      </c>
    </row>
    <row r="4" spans="1:4" ht="14.25">
      <c r="A4" s="18"/>
      <c r="B4" t="s">
        <v>210</v>
      </c>
      <c r="C4" s="21">
        <v>675</v>
      </c>
      <c r="D4" t="s">
        <v>211</v>
      </c>
    </row>
    <row r="5" spans="1:4" ht="14.25">
      <c r="A5" s="18"/>
      <c r="B5" t="s">
        <v>212</v>
      </c>
      <c r="C5" s="21">
        <v>150</v>
      </c>
      <c r="D5" t="s">
        <v>213</v>
      </c>
    </row>
    <row r="6" spans="1:4">
      <c r="B6" t="s">
        <v>214</v>
      </c>
      <c r="C6" s="21">
        <v>100</v>
      </c>
      <c r="D6" t="s">
        <v>215</v>
      </c>
    </row>
    <row r="7" spans="1:4" ht="14.25">
      <c r="A7" s="18"/>
      <c r="B7" s="36" t="s">
        <v>216</v>
      </c>
      <c r="C7" s="21">
        <v>399</v>
      </c>
      <c r="D7" t="s">
        <v>217</v>
      </c>
    </row>
    <row r="8" spans="1:4">
      <c r="B8" t="s">
        <v>218</v>
      </c>
      <c r="C8" s="21">
        <f>625+950</f>
        <v>1575</v>
      </c>
      <c r="D8" t="s">
        <v>219</v>
      </c>
    </row>
    <row r="9" spans="1:4">
      <c r="B9" t="s">
        <v>220</v>
      </c>
      <c r="C9" s="21">
        <v>420</v>
      </c>
      <c r="D9" t="s">
        <v>221</v>
      </c>
    </row>
    <row r="10" spans="1:4">
      <c r="B10" t="s">
        <v>222</v>
      </c>
      <c r="C10" s="21">
        <v>48</v>
      </c>
      <c r="D10" t="s">
        <v>223</v>
      </c>
    </row>
    <row r="11" spans="1:4">
      <c r="B11" t="s">
        <v>224</v>
      </c>
      <c r="C11" s="21">
        <v>95</v>
      </c>
      <c r="D11" t="s">
        <v>225</v>
      </c>
    </row>
    <row r="12" spans="1:4">
      <c r="B12" t="s">
        <v>226</v>
      </c>
      <c r="C12" s="21">
        <v>0</v>
      </c>
      <c r="D12" t="s">
        <v>227</v>
      </c>
    </row>
    <row r="13" spans="1:4">
      <c r="B13" t="s">
        <v>228</v>
      </c>
      <c r="C13" s="21">
        <v>325</v>
      </c>
      <c r="D13" t="s">
        <v>229</v>
      </c>
    </row>
    <row r="14" spans="1:4">
      <c r="B14" t="s">
        <v>230</v>
      </c>
      <c r="C14" s="21">
        <v>35</v>
      </c>
      <c r="D14" t="s">
        <v>231</v>
      </c>
    </row>
    <row r="15" spans="1:4">
      <c r="B15" s="22" t="s">
        <v>232</v>
      </c>
      <c r="C15" s="23"/>
    </row>
    <row r="16" spans="1:4" ht="14.25">
      <c r="B16" s="18" t="s">
        <v>194</v>
      </c>
      <c r="C16" s="24">
        <f>SUM(C2:C15)</f>
        <v>4441</v>
      </c>
    </row>
    <row r="17" spans="1:4" ht="14.25">
      <c r="A17" s="37"/>
      <c r="B17" s="38"/>
      <c r="C17" s="39"/>
      <c r="D17" s="37"/>
    </row>
    <row r="18" spans="1:4" ht="14.25">
      <c r="A18" s="38"/>
      <c r="B18" s="37"/>
      <c r="C18" s="40"/>
      <c r="D18" s="37"/>
    </row>
    <row r="19" spans="1:4">
      <c r="A19" s="37"/>
      <c r="B19" s="37"/>
      <c r="C19" s="40"/>
      <c r="D19" s="37"/>
    </row>
    <row r="20" spans="1:4">
      <c r="A20" s="37"/>
      <c r="B20" s="37"/>
      <c r="C20" s="40"/>
      <c r="D20" s="37"/>
    </row>
    <row r="21" spans="1:4">
      <c r="A21" s="37"/>
      <c r="B21" s="37"/>
      <c r="C21" s="40"/>
      <c r="D21" s="37"/>
    </row>
    <row r="22" spans="1:4">
      <c r="A22" s="37"/>
      <c r="B22" s="37"/>
      <c r="C22" s="40"/>
      <c r="D22" s="37"/>
    </row>
    <row r="23" spans="1:4">
      <c r="A23" s="37"/>
      <c r="B23" s="37"/>
      <c r="C23" s="40"/>
      <c r="D23" s="37"/>
    </row>
    <row r="24" spans="1:4">
      <c r="A24" s="37"/>
      <c r="B24" s="37"/>
      <c r="C24" s="40"/>
      <c r="D24" s="37"/>
    </row>
    <row r="25" spans="1:4">
      <c r="A25" s="37"/>
      <c r="B25" s="37"/>
      <c r="C25" s="40"/>
      <c r="D25" s="37"/>
    </row>
    <row r="26" spans="1:4" ht="14.25">
      <c r="A26" s="37"/>
      <c r="B26" s="38"/>
      <c r="C26" s="39"/>
      <c r="D26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E38D-F84C-49A9-BCB1-ED6EA181DB92}">
  <dimension ref="A1:D9"/>
  <sheetViews>
    <sheetView workbookViewId="0">
      <selection activeCell="C11" sqref="C11"/>
    </sheetView>
  </sheetViews>
  <sheetFormatPr defaultRowHeight="12.75"/>
  <cols>
    <col min="1" max="1" width="35.28515625" bestFit="1" customWidth="1"/>
    <col min="2" max="2" width="13" bestFit="1" customWidth="1"/>
    <col min="3" max="3" width="38.140625" bestFit="1" customWidth="1"/>
  </cols>
  <sheetData>
    <row r="1" spans="1:4" ht="13.15">
      <c r="B1" s="25"/>
      <c r="C1" s="26"/>
    </row>
    <row r="2" spans="1:4" ht="13.15">
      <c r="B2" s="27" t="s">
        <v>233</v>
      </c>
      <c r="C2" s="28" t="s">
        <v>234</v>
      </c>
      <c r="D2" s="29"/>
    </row>
    <row r="3" spans="1:4" ht="14.25">
      <c r="A3" s="30" t="s">
        <v>235</v>
      </c>
      <c r="B3" s="21"/>
      <c r="C3" s="31"/>
      <c r="D3" s="32"/>
    </row>
    <row r="4" spans="1:4" ht="14.25">
      <c r="A4" s="128" t="s">
        <v>236</v>
      </c>
      <c r="B4" s="21">
        <v>1200</v>
      </c>
      <c r="C4" s="31"/>
      <c r="D4" s="33"/>
    </row>
    <row r="5" spans="1:4" ht="14.25">
      <c r="A5" s="128" t="s">
        <v>237</v>
      </c>
      <c r="B5" s="21">
        <v>3200</v>
      </c>
      <c r="C5" s="31" t="s">
        <v>238</v>
      </c>
      <c r="D5" s="33"/>
    </row>
    <row r="6" spans="1:4" ht="14.25">
      <c r="A6" s="128" t="s">
        <v>239</v>
      </c>
      <c r="B6" s="21">
        <v>5350</v>
      </c>
      <c r="C6" s="31" t="s">
        <v>238</v>
      </c>
      <c r="D6" s="33"/>
    </row>
    <row r="7" spans="1:4" ht="14.25">
      <c r="A7" s="128" t="s">
        <v>240</v>
      </c>
      <c r="B7" s="21">
        <v>100</v>
      </c>
      <c r="C7" s="31"/>
      <c r="D7" s="33"/>
    </row>
    <row r="8" spans="1:4" ht="14.25">
      <c r="A8" s="34" t="s">
        <v>118</v>
      </c>
      <c r="B8" s="35">
        <f>SUM(B3:B7)</f>
        <v>9850</v>
      </c>
      <c r="C8" s="31"/>
      <c r="D8" s="33"/>
    </row>
    <row r="9" spans="1:4" ht="14.25">
      <c r="A9" s="128"/>
      <c r="B9" s="20"/>
      <c r="C9" s="31"/>
      <c r="D9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9B94-0BC0-40B2-8A5F-1EEFE398FB24}">
  <dimension ref="A1:C19"/>
  <sheetViews>
    <sheetView workbookViewId="0">
      <selection activeCell="C22" sqref="C22"/>
    </sheetView>
  </sheetViews>
  <sheetFormatPr defaultRowHeight="12.75"/>
  <cols>
    <col min="1" max="1" width="28.7109375" customWidth="1"/>
    <col min="2" max="2" width="11.42578125" style="55" bestFit="1" customWidth="1"/>
    <col min="3" max="3" width="55.28515625" customWidth="1"/>
  </cols>
  <sheetData>
    <row r="1" spans="1:3" ht="13.15">
      <c r="A1" s="129" t="s">
        <v>241</v>
      </c>
      <c r="B1" s="130" t="s">
        <v>242</v>
      </c>
      <c r="C1" s="129" t="s">
        <v>99</v>
      </c>
    </row>
    <row r="2" spans="1:3">
      <c r="A2" s="52" t="s">
        <v>243</v>
      </c>
      <c r="B2" s="55">
        <v>30000</v>
      </c>
      <c r="C2" t="s">
        <v>244</v>
      </c>
    </row>
    <row r="3" spans="1:3">
      <c r="A3" t="s">
        <v>245</v>
      </c>
      <c r="B3" s="55">
        <v>10000</v>
      </c>
      <c r="C3" t="s">
        <v>246</v>
      </c>
    </row>
    <row r="4" spans="1:3">
      <c r="A4" t="s">
        <v>247</v>
      </c>
      <c r="B4" s="55">
        <v>5350</v>
      </c>
      <c r="C4" t="s">
        <v>248</v>
      </c>
    </row>
    <row r="5" spans="1:3">
      <c r="A5" t="s">
        <v>249</v>
      </c>
      <c r="B5" s="55">
        <v>3200</v>
      </c>
      <c r="C5" t="s">
        <v>248</v>
      </c>
    </row>
    <row r="6" spans="1:3">
      <c r="A6" t="s">
        <v>250</v>
      </c>
      <c r="B6" s="55">
        <v>5000</v>
      </c>
      <c r="C6" t="s">
        <v>251</v>
      </c>
    </row>
    <row r="7" spans="1:3">
      <c r="A7" t="s">
        <v>252</v>
      </c>
      <c r="B7" s="55">
        <v>4441</v>
      </c>
      <c r="C7" t="s">
        <v>253</v>
      </c>
    </row>
    <row r="8" spans="1:3">
      <c r="A8" t="s">
        <v>254</v>
      </c>
      <c r="B8" s="55">
        <v>5000</v>
      </c>
      <c r="C8" t="s">
        <v>255</v>
      </c>
    </row>
    <row r="9" spans="1:3">
      <c r="A9" t="s">
        <v>256</v>
      </c>
      <c r="B9" s="55">
        <v>30000</v>
      </c>
      <c r="C9" t="s">
        <v>255</v>
      </c>
    </row>
    <row r="10" spans="1:3">
      <c r="A10" s="54" t="s">
        <v>257</v>
      </c>
      <c r="B10" s="56" t="s">
        <v>201</v>
      </c>
      <c r="C10" s="54" t="s">
        <v>258</v>
      </c>
    </row>
    <row r="11" spans="1:3" ht="13.15">
      <c r="B11" s="131">
        <f>SUM(B2:B9)</f>
        <v>92991</v>
      </c>
      <c r="C11" s="132" t="s">
        <v>259</v>
      </c>
    </row>
    <row r="15" spans="1:3" ht="13.15">
      <c r="A15" s="53" t="s">
        <v>260</v>
      </c>
    </row>
    <row r="16" spans="1:3">
      <c r="A16" t="s">
        <v>261</v>
      </c>
      <c r="B16" s="55">
        <v>100000</v>
      </c>
      <c r="C16" t="s">
        <v>262</v>
      </c>
    </row>
    <row r="17" spans="1:3">
      <c r="A17" t="s">
        <v>263</v>
      </c>
      <c r="B17" s="55" t="s">
        <v>201</v>
      </c>
      <c r="C17" t="s">
        <v>264</v>
      </c>
    </row>
    <row r="19" spans="1:3">
      <c r="A19" t="s">
        <v>265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38639b-2eaa-41e8-a2b1-56f5cf408a0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2461F56A069149A2AA280CF380D30B" ma:contentTypeVersion="9" ma:contentTypeDescription="Create a new document." ma:contentTypeScope="" ma:versionID="165cb558d662f4fa421d6122205a4ca7">
  <xsd:schema xmlns:xsd="http://www.w3.org/2001/XMLSchema" xmlns:xs="http://www.w3.org/2001/XMLSchema" xmlns:p="http://schemas.microsoft.com/office/2006/metadata/properties" xmlns:ns2="6e38639b-2eaa-41e8-a2b1-56f5cf408a03" targetNamespace="http://schemas.microsoft.com/office/2006/metadata/properties" ma:root="true" ma:fieldsID="1c418cc1fa0c7017e0bd2bab1946db30" ns2:_="">
    <xsd:import namespace="6e38639b-2eaa-41e8-a2b1-56f5cf408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8639b-2eaa-41e8-a2b1-56f5cf408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3852C6-B350-4242-BE3F-07C9419E04CD}"/>
</file>

<file path=customXml/itemProps2.xml><?xml version="1.0" encoding="utf-8"?>
<ds:datastoreItem xmlns:ds="http://schemas.openxmlformats.org/officeDocument/2006/customXml" ds:itemID="{87FD0EC5-0648-4B64-8236-7370363262CB}"/>
</file>

<file path=customXml/itemProps3.xml><?xml version="1.0" encoding="utf-8"?>
<ds:datastoreItem xmlns:ds="http://schemas.openxmlformats.org/officeDocument/2006/customXml" ds:itemID="{4433D1EB-DD9D-49E4-8465-BA0E54282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Profit Center Annual Budget Template</dc:title>
  <dc:subject/>
  <dc:creator>Denise Sayer</dc:creator>
  <cp:keywords/>
  <dc:description/>
  <cp:lastModifiedBy>Knight, John</cp:lastModifiedBy>
  <cp:revision/>
  <dcterms:created xsi:type="dcterms:W3CDTF">2004-09-23T17:38:34Z</dcterms:created>
  <dcterms:modified xsi:type="dcterms:W3CDTF">2026-08-26T13:55:00Z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DownloadAsset.aspx?id=2147483823</vt:lpwstr>
  </property>
  <property fmtid="{D5CDD505-2E9C-101B-9397-08002B2CF9AE}" pid="4" name="EktContentType">
    <vt:i4>101</vt:i4>
  </property>
  <property fmtid="{D5CDD505-2E9C-101B-9397-08002B2CF9AE}" pid="5" name="EktFolderName">
    <vt:lpwstr/>
  </property>
  <property fmtid="{D5CDD505-2E9C-101B-9397-08002B2CF9AE}" pid="6" name="EktCmsPath">
    <vt:lpwstr>&amp;lt;p&amp;gt;No Formulas  With Formulas  EXPENSES  TOTAL INCOME  Utilities  Printing  Postage  Office Supplies  Childcare Supplies  Food  Taxes/Licenses  Miscellaneous  Dues &amp;amp;amp; Subscriptions  TOTAL EXPENSES  Subtotal Personnel      Parents Pay      Registration/Holding  Childcare Fees:  Payroll  Payroll Taxes  Transportation  Insura&amp;lt;/p&amp;gt;</vt:lpwstr>
  </property>
  <property fmtid="{D5CDD505-2E9C-101B-9397-08002B2CF9AE}" pid="7" name="EktExpiryType">
    <vt:i4>1</vt:i4>
  </property>
  <property fmtid="{D5CDD505-2E9C-101B-9397-08002B2CF9AE}" pid="8" name="EktDateCreated">
    <vt:filetime>2010-03-04T21:35:46Z</vt:filetime>
  </property>
  <property fmtid="{D5CDD505-2E9C-101B-9397-08002B2CF9AE}" pid="9" name="EktDateModified">
    <vt:filetime>2010-03-04T21:35:47Z</vt:filetime>
  </property>
  <property fmtid="{D5CDD505-2E9C-101B-9397-08002B2CF9AE}" pid="10" name="EktTaxCategory">
    <vt:lpwstr/>
  </property>
  <property fmtid="{D5CDD505-2E9C-101B-9397-08002B2CF9AE}" pid="11" name="EktCmsSize">
    <vt:i4>41984</vt:i4>
  </property>
  <property fmtid="{D5CDD505-2E9C-101B-9397-08002B2CF9AE}" pid="12" name="EktSearchable">
    <vt:i4>1</vt:i4>
  </property>
  <property fmtid="{D5CDD505-2E9C-101B-9397-08002B2CF9AE}" pid="13" name="EktEDescription">
    <vt:lpwstr>Summary &amp;lt;p&amp;gt;No Formulas  With Formulas  EXPENSES  TOTAL INCOME  Utilities  Printing  Postage  Office Supplies  Childcare Supplies  Food  Taxes/Licenses  Miscellaneous  Dues &amp;amp;amp; Subscriptions  TOTAL EXPENSES  Subtotal Personnel      Parents Pay      Registration/Holding  Childcare Fees:  Payroll  Payroll Taxes  Transportation  Insura&amp;lt;/p&amp;gt;</vt:lpwstr>
  </property>
  <property fmtid="{D5CDD505-2E9C-101B-9397-08002B2CF9AE}" pid="14" name="ekttaxonomyenabled">
    <vt:i4>1</vt:i4>
  </property>
  <property fmtid="{D5CDD505-2E9C-101B-9397-08002B2CF9AE}" pid="15" name="EktContentSubType">
    <vt:i4>0</vt:i4>
  </property>
  <property fmtid="{D5CDD505-2E9C-101B-9397-08002B2CF9AE}" pid="16" name="ContentTypeId">
    <vt:lpwstr>0x010100582461F56A069149A2AA280CF380D30B</vt:lpwstr>
  </property>
  <property fmtid="{D5CDD505-2E9C-101B-9397-08002B2CF9AE}" pid="17" name="MediaServiceImageTags">
    <vt:lpwstr/>
  </property>
</Properties>
</file>