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namedSheetViews/namedSheetView1.xml" ContentType="application/vnd.ms-excel.namedsheetview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mconnectumt.sharepoint.com/sites/HMStaff-HMFiscal/Shared Documents/HM Fiscal/Budget/FY 27/Operating Budget/"/>
    </mc:Choice>
  </mc:AlternateContent>
  <xr:revisionPtr revIDLastSave="1340" documentId="8_{6D3138BF-ACA3-5D4C-9FC4-495145ED8630}" xr6:coauthVersionLast="47" xr6:coauthVersionMax="47" xr10:uidLastSave="{D2F6F7BD-47CA-45DD-848C-3915BD63E20B}"/>
  <bookViews>
    <workbookView xWindow="16612" yWindow="-21150" windowWidth="25966" windowHeight="21233" activeTab="1" xr2:uid="{C8295F9B-5BD0-4FB3-BFBF-F6FEF5557491}"/>
    <workbookView xWindow="16598" yWindow="-21247" windowWidth="51795" windowHeight="21345" xr2:uid="{0268278F-706B-4E8B-8EE7-F4DF330B31B5}"/>
  </bookViews>
  <sheets>
    <sheet name="FY27 Budget DRAFT" sheetId="8" r:id="rId1"/>
    <sheet name="Budget and Income by Program" sheetId="10" r:id="rId2"/>
    <sheet name="Payroll" sheetId="7" r:id="rId3"/>
    <sheet name="Payroll--Confidential" sheetId="5" state="hidden" r:id="rId4"/>
    <sheet name="Private Foundations Matrix" sheetId="9" r:id="rId5"/>
    <sheet name="Dues &amp; Subscriptions" sheetId="2" r:id="rId6"/>
    <sheet name="Administrative Expenses" sheetId="4" r:id="rId7"/>
    <sheet name="Est Closing Costs" sheetId="6" r:id="rId8"/>
    <sheet name="Private Foundations - FY26" sheetId="3" r:id="rId9"/>
    <sheet name="FY26 Budget FINAL No NEH" sheetId="1" r:id="rId10"/>
  </sheets>
  <definedNames>
    <definedName name="_xlnm.Print_Area" localSheetId="9">'FY26 Budget FINAL No NEH'!$A$1:$F$43</definedName>
    <definedName name="_xlnm.Print_Area" localSheetId="0">'FY27 Budget DRAFT'!$A$1:$J$86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8" l="1"/>
  <c r="D21" i="8"/>
  <c r="G21" i="8"/>
  <c r="D40" i="8"/>
  <c r="C32" i="10"/>
  <c r="D32" i="10"/>
  <c r="E32" i="10"/>
  <c r="E36" i="10" s="1"/>
  <c r="F32" i="10"/>
  <c r="G32" i="10"/>
  <c r="G36" i="10" s="1"/>
  <c r="H32" i="10"/>
  <c r="B32" i="10"/>
  <c r="H31" i="10"/>
  <c r="H30" i="10"/>
  <c r="F36" i="10"/>
  <c r="H34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B36" i="10"/>
  <c r="C36" i="10"/>
  <c r="D36" i="10"/>
  <c r="B13" i="10"/>
  <c r="H8" i="7"/>
  <c r="H7" i="7"/>
  <c r="G55" i="8"/>
  <c r="G45" i="8"/>
  <c r="E63" i="8"/>
  <c r="G63" i="8"/>
  <c r="G71" i="8"/>
  <c r="D71" i="8"/>
  <c r="D74" i="8"/>
  <c r="G74" i="8"/>
  <c r="J48" i="9"/>
  <c r="G48" i="4"/>
  <c r="G48" i="6"/>
  <c r="G48" i="3"/>
  <c r="G48" i="1"/>
  <c r="G48" i="8"/>
  <c r="J45" i="9"/>
  <c r="G45" i="4"/>
  <c r="G45" i="6"/>
  <c r="G45" i="3"/>
  <c r="G45" i="1"/>
  <c r="J63" i="9"/>
  <c r="G63" i="4"/>
  <c r="G63" i="6"/>
  <c r="G63" i="3"/>
  <c r="G63" i="1"/>
  <c r="G67" i="8"/>
  <c r="H63" i="9"/>
  <c r="E63" i="4"/>
  <c r="E63" i="6"/>
  <c r="E63" i="3"/>
  <c r="E63" i="1"/>
  <c r="E67" i="8"/>
  <c r="G63" i="9"/>
  <c r="D63" i="4"/>
  <c r="D63" i="6"/>
  <c r="D63" i="3"/>
  <c r="D63" i="1"/>
  <c r="D67" i="8"/>
  <c r="H60" i="9"/>
  <c r="E60" i="4"/>
  <c r="E60" i="6"/>
  <c r="E60" i="3"/>
  <c r="E60" i="1"/>
  <c r="G60" i="9"/>
  <c r="D60" i="4"/>
  <c r="D60" i="6"/>
  <c r="D60" i="3"/>
  <c r="D60" i="1"/>
  <c r="J60" i="9"/>
  <c r="G60" i="4"/>
  <c r="G60" i="6"/>
  <c r="G60" i="3"/>
  <c r="G60" i="1"/>
  <c r="J10" i="9"/>
  <c r="J19" i="9" s="1"/>
  <c r="J27" i="9" s="1"/>
  <c r="G10" i="2"/>
  <c r="G10" i="4"/>
  <c r="G27" i="4" s="1"/>
  <c r="G10" i="6"/>
  <c r="G27" i="6" s="1"/>
  <c r="G10" i="3"/>
  <c r="G27" i="3" s="1"/>
  <c r="G10" i="1"/>
  <c r="G27" i="1" s="1"/>
  <c r="G11" i="8"/>
  <c r="J39" i="9"/>
  <c r="G39" i="4"/>
  <c r="G39" i="6"/>
  <c r="G39" i="3"/>
  <c r="G39" i="1"/>
  <c r="B14" i="7"/>
  <c r="G8" i="7" s="1"/>
  <c r="C9" i="7"/>
  <c r="D8" i="7"/>
  <c r="D17" i="2"/>
  <c r="G54" i="8" s="1"/>
  <c r="B19" i="9"/>
  <c r="F17" i="8"/>
  <c r="F46" i="8"/>
  <c r="F49" i="8"/>
  <c r="F50" i="8"/>
  <c r="F51" i="8"/>
  <c r="F52" i="8"/>
  <c r="F53" i="8"/>
  <c r="F56" i="8"/>
  <c r="F57" i="8"/>
  <c r="F68" i="8"/>
  <c r="F45" i="8"/>
  <c r="F16" i="8"/>
  <c r="F19" i="8"/>
  <c r="F20" i="8"/>
  <c r="F30" i="8"/>
  <c r="F32" i="8"/>
  <c r="F43" i="8"/>
  <c r="F14" i="8"/>
  <c r="E75" i="8"/>
  <c r="F75" i="8" s="1"/>
  <c r="E72" i="8"/>
  <c r="F72" i="8" s="1"/>
  <c r="F44" i="8"/>
  <c r="F7" i="7"/>
  <c r="E7" i="7"/>
  <c r="F48" i="8"/>
  <c r="D23" i="8"/>
  <c r="D21" i="1"/>
  <c r="B11" i="6"/>
  <c r="G9" i="5"/>
  <c r="C9" i="5"/>
  <c r="G8" i="5"/>
  <c r="F8" i="5"/>
  <c r="E8" i="5"/>
  <c r="D8" i="5"/>
  <c r="H8" i="5" s="1"/>
  <c r="G7" i="5"/>
  <c r="G10" i="5" s="1"/>
  <c r="F7" i="5"/>
  <c r="F10" i="5" s="1"/>
  <c r="E7" i="5"/>
  <c r="E10" i="5" s="1"/>
  <c r="D7" i="5"/>
  <c r="B8" i="4"/>
  <c r="D72" i="1" s="1"/>
  <c r="C8" i="2"/>
  <c r="C17" i="2" s="1"/>
  <c r="D70" i="1" s="1"/>
  <c r="D41" i="3"/>
  <c r="D13" i="3"/>
  <c r="D9" i="7" l="1"/>
  <c r="G23" i="8"/>
  <c r="H36" i="10"/>
  <c r="H13" i="10"/>
  <c r="G59" i="8"/>
  <c r="F63" i="8"/>
  <c r="E59" i="8"/>
  <c r="G80" i="8"/>
  <c r="D80" i="8"/>
  <c r="E74" i="8"/>
  <c r="F74" i="8" s="1"/>
  <c r="E71" i="8"/>
  <c r="F71" i="8" s="1"/>
  <c r="F67" i="8"/>
  <c r="F8" i="7"/>
  <c r="F9" i="7" s="1"/>
  <c r="E8" i="7"/>
  <c r="D31" i="8"/>
  <c r="F31" i="8" s="1"/>
  <c r="D30" i="1"/>
  <c r="D29" i="8"/>
  <c r="F29" i="8" s="1"/>
  <c r="D28" i="1"/>
  <c r="G7" i="7"/>
  <c r="I7" i="7" s="1"/>
  <c r="E23" i="8"/>
  <c r="F23" i="8" s="1"/>
  <c r="F18" i="8"/>
  <c r="D54" i="8"/>
  <c r="D75" i="1"/>
  <c r="H7" i="5"/>
  <c r="C10" i="5"/>
  <c r="D9" i="5"/>
  <c r="D42" i="3"/>
  <c r="E9" i="7" l="1"/>
  <c r="I8" i="7"/>
  <c r="G31" i="8"/>
  <c r="G39" i="8"/>
  <c r="G27" i="8"/>
  <c r="G35" i="8"/>
  <c r="F54" i="8"/>
  <c r="D59" i="8"/>
  <c r="F59" i="8" s="1"/>
  <c r="E80" i="8"/>
  <c r="F80" i="8" s="1"/>
  <c r="G9" i="7"/>
  <c r="D27" i="8"/>
  <c r="D26" i="1"/>
  <c r="D10" i="5"/>
  <c r="H9" i="5"/>
  <c r="H10" i="5"/>
  <c r="D23" i="1"/>
  <c r="G29" i="8" l="1"/>
  <c r="G37" i="8"/>
  <c r="G28" i="8"/>
  <c r="G36" i="8"/>
  <c r="G40" i="8" s="1"/>
  <c r="M7" i="7"/>
  <c r="P7" i="7"/>
  <c r="R7" i="7"/>
  <c r="Q7" i="7"/>
  <c r="N7" i="7"/>
  <c r="O7" i="7"/>
  <c r="N8" i="7"/>
  <c r="O8" i="7"/>
  <c r="P8" i="7"/>
  <c r="M8" i="7"/>
  <c r="M9" i="7" s="1"/>
  <c r="B3" i="10" s="1"/>
  <c r="Q8" i="7"/>
  <c r="R8" i="7"/>
  <c r="E82" i="8"/>
  <c r="I9" i="7"/>
  <c r="D28" i="8"/>
  <c r="F28" i="8" s="1"/>
  <c r="D27" i="1"/>
  <c r="D33" i="1" s="1"/>
  <c r="D77" i="1" s="1"/>
  <c r="D79" i="1" s="1"/>
  <c r="F27" i="8"/>
  <c r="Q9" i="7" l="1"/>
  <c r="B7" i="10" s="1"/>
  <c r="S8" i="7"/>
  <c r="P9" i="7"/>
  <c r="S7" i="7"/>
  <c r="R9" i="7"/>
  <c r="B8" i="10" s="1"/>
  <c r="O9" i="7"/>
  <c r="B5" i="10" s="1"/>
  <c r="N9" i="7"/>
  <c r="B4" i="10" s="1"/>
  <c r="B6" i="10" l="1"/>
  <c r="B9" i="10" s="1"/>
  <c r="S9" i="7"/>
  <c r="G82" i="8" s="1"/>
  <c r="G84" i="8" s="1"/>
  <c r="D82" i="8"/>
  <c r="C4" i="10" l="1"/>
  <c r="C5" i="10"/>
  <c r="C6" i="10"/>
  <c r="C7" i="10"/>
  <c r="C8" i="10"/>
  <c r="C3" i="10"/>
  <c r="D84" i="8"/>
  <c r="F82" i="8"/>
</calcChain>
</file>

<file path=xl/sharedStrings.xml><?xml version="1.0" encoding="utf-8"?>
<sst xmlns="http://schemas.openxmlformats.org/spreadsheetml/2006/main" count="620" uniqueCount="367">
  <si>
    <t>as of</t>
  </si>
  <si>
    <t>FY27 Budget Draft</t>
  </si>
  <si>
    <t>2026 Budget</t>
  </si>
  <si>
    <t>2026 Actual</t>
  </si>
  <si>
    <t>% of Budget</t>
  </si>
  <si>
    <t>2027 Proposed</t>
  </si>
  <si>
    <t>Notes FY27</t>
  </si>
  <si>
    <t>Notes FY26</t>
  </si>
  <si>
    <t>REVENUE AND SUPPORT</t>
  </si>
  <si>
    <t>Carry Over</t>
  </si>
  <si>
    <t>Heyneman Foundation</t>
  </si>
  <si>
    <t>MTPL</t>
  </si>
  <si>
    <t>Artists in the schools and classrooms - MAC</t>
  </si>
  <si>
    <t>Llewyellen Foundation</t>
  </si>
  <si>
    <t>Democracy Project - 30k Received in July 2026</t>
  </si>
  <si>
    <t>Engelhard Foundation</t>
  </si>
  <si>
    <t>Democracy Project $62k should be received in September 2026 + any other remaining Engelhard from FY25-26</t>
  </si>
  <si>
    <t>MT Cultural Trust - MAC</t>
  </si>
  <si>
    <t>Speakers Beaureu</t>
  </si>
  <si>
    <t>Subtotal: Carry Over</t>
  </si>
  <si>
    <t>April FR, Reserve Funds</t>
  </si>
  <si>
    <t>Income</t>
  </si>
  <si>
    <t>Speaker Co-Pays</t>
  </si>
  <si>
    <t>NEH</t>
  </si>
  <si>
    <t>NEH may also issue an FY27 NOA at roughly 40% of the FY25 level, which would be approximately $366,463. Some of this money would likely carry into FY28.</t>
  </si>
  <si>
    <t>MT Cultural Trust</t>
  </si>
  <si>
    <t xml:space="preserve">MT Poet Lauraete --actually $10,000 per year for two years </t>
  </si>
  <si>
    <t>Private Foundations</t>
  </si>
  <si>
    <t>See separate sheet for details</t>
  </si>
  <si>
    <t>Individual Contributions</t>
  </si>
  <si>
    <t>$50k Match + Annual Giving + 100% board giving</t>
  </si>
  <si>
    <t>House Parties/Events</t>
  </si>
  <si>
    <t>Interest Income</t>
  </si>
  <si>
    <t>Subtotal: Income</t>
  </si>
  <si>
    <t>TOTAL REVENUE</t>
  </si>
  <si>
    <t>EXPENSES</t>
  </si>
  <si>
    <t>Personnel</t>
  </si>
  <si>
    <t>Payroll</t>
  </si>
  <si>
    <t xml:space="preserve">No raises FY26 </t>
  </si>
  <si>
    <t>Payroll Taxes</t>
  </si>
  <si>
    <t>Health Benefits (Health, Dental, Eye)</t>
  </si>
  <si>
    <t>$1500 per employee/per month/ 2 employees</t>
  </si>
  <si>
    <t>Life Insurance/LTD</t>
  </si>
  <si>
    <t>HM provides 100%</t>
  </si>
  <si>
    <t>Retirement Benefits</t>
  </si>
  <si>
    <t>10% of Salary</t>
  </si>
  <si>
    <t>Other Benefits</t>
  </si>
  <si>
    <t>This I believe appears in payroll directly, since it is a stipend it does not appear separately.</t>
  </si>
  <si>
    <t>Cell phone stipend</t>
  </si>
  <si>
    <t>Subtotal: Personnel</t>
  </si>
  <si>
    <t>Operating Expenses</t>
  </si>
  <si>
    <t>Board Expenses incl. Travel</t>
  </si>
  <si>
    <t>2 in-person, 1 virtual meeting</t>
  </si>
  <si>
    <t>Staff Travel</t>
  </si>
  <si>
    <t>Humanities on the Hill, donor meetings, DP site visits, MLA</t>
  </si>
  <si>
    <t>Professional Services: Marketing &amp; Communications</t>
  </si>
  <si>
    <t>Digital Spark Creative - outsourced Comms department</t>
  </si>
  <si>
    <t>Digital Spark Creative (increase Nov 1, 2025)</t>
  </si>
  <si>
    <t>Professional Services: Development Consultant</t>
  </si>
  <si>
    <t>Adjustment made</t>
  </si>
  <si>
    <t>Deb Gill/Alliance Philanthropy</t>
  </si>
  <si>
    <t>Professional Services: CFO</t>
  </si>
  <si>
    <t>Professional Services: Bookkeeping</t>
  </si>
  <si>
    <t>Est. 20 hrs per month</t>
  </si>
  <si>
    <t>Liability Insurance including D&amp;O</t>
  </si>
  <si>
    <t>Printing</t>
  </si>
  <si>
    <t>Program spend is acounted in programming budget</t>
  </si>
  <si>
    <t>Fundraising/Outreach</t>
  </si>
  <si>
    <t>Postage</t>
  </si>
  <si>
    <t>Office Supplies</t>
  </si>
  <si>
    <t>UM Lease/Parking/IT Support</t>
  </si>
  <si>
    <t>Software &amp; Subscriptions</t>
  </si>
  <si>
    <t>Dues</t>
  </si>
  <si>
    <t xml:space="preserve">Including Federation dues </t>
  </si>
  <si>
    <t>(Negotiated to 65% of FY25 Expenses)</t>
  </si>
  <si>
    <t>Audit/990/5500</t>
  </si>
  <si>
    <t>Perhaps a program audit (not full audit, and perhaps none at all) + 990</t>
  </si>
  <si>
    <t>$Audit $19,000 + Form 990/5500 2,400.00</t>
  </si>
  <si>
    <t>Professional Development</t>
  </si>
  <si>
    <t>General Fund / FY26 Headwaters grant to carry into FY27 to support staff professional development . $5000.00? in Person Staff/librarian faciliator training with Oregon Humanities proposed through DP, Virtual training available for DP Librarians. // ED Trip to DC in November 2026 for Annual Business Meeting.; some funding provided to humanities councils for participating.</t>
  </si>
  <si>
    <t>NHC Cancelled 2025</t>
  </si>
  <si>
    <t>Subtotal Operating Expenses</t>
  </si>
  <si>
    <t>Programming Expenses</t>
  </si>
  <si>
    <t>Democracy Project</t>
  </si>
  <si>
    <t>Will want to allocate 5-10k for Film updates in 2027. $2,000 added stretch budget for materials and items to send to libraries + Mailing.</t>
  </si>
  <si>
    <t>Unrestricted Library Stipends</t>
  </si>
  <si>
    <t xml:space="preserve">Library stipends are $2,500.00 for full program sites / $500.00 for half year sites (10 Full program sites confirmed with 5 soft lauch to be confirmed. $27,500 Stretch budget for participant libraries. </t>
  </si>
  <si>
    <t>Llewellyn Grant</t>
  </si>
  <si>
    <t>Legislative Session Stipends for Libraries</t>
  </si>
  <si>
    <t>Programmatic Staff Travel</t>
  </si>
  <si>
    <t xml:space="preserve">MT Center for the Book </t>
  </si>
  <si>
    <t>5k Reiimbursable from NEH for National Book Festival (each year)</t>
  </si>
  <si>
    <t>One Book Montana/Statewide Read</t>
  </si>
  <si>
    <t>Mellon or NEH</t>
  </si>
  <si>
    <t>Great Reads</t>
  </si>
  <si>
    <t>Programmitic Staff Travel</t>
  </si>
  <si>
    <t>MT Poet Laureate</t>
  </si>
  <si>
    <t>Honoraria</t>
  </si>
  <si>
    <t>MT Cultural Trust +Heyneman + MAC AISC Grant</t>
  </si>
  <si>
    <t>Materials</t>
  </si>
  <si>
    <t>Our Montana Voices</t>
  </si>
  <si>
    <t>250th Speaker Honoraria/Travel</t>
  </si>
  <si>
    <t>MT250 Partial Award</t>
  </si>
  <si>
    <t>Speakers in the schools</t>
  </si>
  <si>
    <t>WA foundation dolalrs - Spend on this will start occurring in September 2026 / Add NEH Funds $20k?</t>
  </si>
  <si>
    <t>Montana conversations</t>
  </si>
  <si>
    <t>Funded by neh - Spend on this will start occurring in September 2026 / add another 20K in NEH Funds?</t>
  </si>
  <si>
    <t>Big Sky Reads (microgrants)</t>
  </si>
  <si>
    <t>Funded by NEH dollars - Spen on this will occur November 1, 2026</t>
  </si>
  <si>
    <t>Subtotal: Programming</t>
  </si>
  <si>
    <t>TOTAL EXPENSES</t>
  </si>
  <si>
    <t>Cost account changes ispected in FY27</t>
  </si>
  <si>
    <t xml:space="preserve">NET SURPLUS </t>
  </si>
  <si>
    <t xml:space="preserve"> </t>
  </si>
  <si>
    <t>FY27 Expenses</t>
  </si>
  <si>
    <t>Program</t>
  </si>
  <si>
    <t>Expense</t>
  </si>
  <si>
    <t>%age</t>
  </si>
  <si>
    <t>Operations</t>
  </si>
  <si>
    <t>TOTAL</t>
  </si>
  <si>
    <t>Income Streams</t>
  </si>
  <si>
    <t>Operations/Unrestricted</t>
  </si>
  <si>
    <t>DP</t>
  </si>
  <si>
    <t>MTC4B</t>
  </si>
  <si>
    <t>OMV</t>
  </si>
  <si>
    <t>BSR</t>
  </si>
  <si>
    <t>Llewellen Foundation</t>
  </si>
  <si>
    <t>Engelhard Foundation (carry forward)</t>
  </si>
  <si>
    <t>Headwaters Foundation (carry forward)</t>
  </si>
  <si>
    <t>The Lewellyn Foundation</t>
  </si>
  <si>
    <t>The Charles Engelhard Foundation (new)</t>
  </si>
  <si>
    <t>Cole Gwinn Grant</t>
  </si>
  <si>
    <t>COSLA - NBF Grant</t>
  </si>
  <si>
    <t>NEH - National Book Festival Grant</t>
  </si>
  <si>
    <t>MAC - Artists in Classrooms and Schools Grant</t>
  </si>
  <si>
    <t>The Susan Scott Heyneman Foundation</t>
  </si>
  <si>
    <t>MAC - Montana Cultural Trust</t>
  </si>
  <si>
    <t>First Interstate Bank Grant</t>
  </si>
  <si>
    <t>The Washington Foundation</t>
  </si>
  <si>
    <t>Headwaters Foundation</t>
  </si>
  <si>
    <t>Unrestricted Individual Contributions</t>
  </si>
  <si>
    <t>Expected Spend</t>
  </si>
  <si>
    <t>Difference</t>
  </si>
  <si>
    <t>Humanities Montana</t>
  </si>
  <si>
    <t>Personnel Budget</t>
  </si>
  <si>
    <t>FY27</t>
  </si>
  <si>
    <t>FY 27 PERSONNEL BUDGET</t>
  </si>
  <si>
    <t>Retirement</t>
  </si>
  <si>
    <t>Health</t>
  </si>
  <si>
    <t>Other</t>
  </si>
  <si>
    <t>Programming Totals</t>
  </si>
  <si>
    <t>Programming Breakdown</t>
  </si>
  <si>
    <t>FY26</t>
  </si>
  <si>
    <t>Taxes</t>
  </si>
  <si>
    <t>Plan</t>
  </si>
  <si>
    <t>Insurance</t>
  </si>
  <si>
    <t>Benefits</t>
  </si>
  <si>
    <t>Comments</t>
  </si>
  <si>
    <t>General Administration</t>
  </si>
  <si>
    <t>Executive Director</t>
  </si>
  <si>
    <t>John Knight</t>
  </si>
  <si>
    <t>Program Director</t>
  </si>
  <si>
    <t>Jenny Bevill</t>
  </si>
  <si>
    <t>FY 26 Total</t>
  </si>
  <si>
    <t>Payroll taxes</t>
  </si>
  <si>
    <t>Retirement match</t>
  </si>
  <si>
    <t>Health Insurance Monthly</t>
  </si>
  <si>
    <t>increase by 12%, no exceptions to policy</t>
  </si>
  <si>
    <t>Other benefits monthly</t>
  </si>
  <si>
    <t>Notes</t>
  </si>
  <si>
    <t>Personal budget assumes Program Development Director receives a 10% salary increase to align with 2025 Programs Director compensation level; and ED salary returns to 2025 compensation level.</t>
  </si>
  <si>
    <t>Salary adjustments for ED through evaluation and recommendation with Executive Committee. Salary Adjustments for Program Development Director through ED evaluation with recommendations provided to Executive Committee.</t>
  </si>
  <si>
    <t>Health Insurance Monthly costs recommended through Executive Committee</t>
  </si>
  <si>
    <t>Staff will provide documentation to Executive Committee for Salary and Health Insurance Adjustments to be considered.</t>
  </si>
  <si>
    <t>FY 26 PERSONNEL BUDGET</t>
  </si>
  <si>
    <t>Salary/Wage</t>
  </si>
  <si>
    <t>Jill Baker</t>
  </si>
  <si>
    <t>Program Manager</t>
  </si>
  <si>
    <t>Jenny Bevil</t>
  </si>
  <si>
    <t>Student/ Program Assistant</t>
  </si>
  <si>
    <t>TBD</t>
  </si>
  <si>
    <t>Grants Matrix - FY27</t>
  </si>
  <si>
    <t xml:space="preserve">Foundation Name </t>
  </si>
  <si>
    <t>Request Amount</t>
  </si>
  <si>
    <t>LOI or Application?</t>
  </si>
  <si>
    <t>Confidence</t>
  </si>
  <si>
    <t>Restricted</t>
  </si>
  <si>
    <t>Reporting Requirements</t>
  </si>
  <si>
    <t>Applied Y/N</t>
  </si>
  <si>
    <t>Submission Date</t>
  </si>
  <si>
    <t>Amount Recieved</t>
  </si>
  <si>
    <t>Application</t>
  </si>
  <si>
    <t>High</t>
  </si>
  <si>
    <t>The OPE Edwards Foundation</t>
  </si>
  <si>
    <t>Letter / LOI</t>
  </si>
  <si>
    <t>The Wallace Foundation</t>
  </si>
  <si>
    <t>The Bair Foundation</t>
  </si>
  <si>
    <t>Very Low</t>
  </si>
  <si>
    <t>Low</t>
  </si>
  <si>
    <t xml:space="preserve">Murdock Charitable Trust </t>
  </si>
  <si>
    <t>LOI</t>
  </si>
  <si>
    <t>Unrestricted</t>
  </si>
  <si>
    <t>Medium High</t>
  </si>
  <si>
    <t>Medium</t>
  </si>
  <si>
    <t>LOI / Application</t>
  </si>
  <si>
    <t>The Charles Engelhard Foundation</t>
  </si>
  <si>
    <t>Application/ Letter</t>
  </si>
  <si>
    <t>Montana Community Foundation</t>
  </si>
  <si>
    <t>Application - Councils Only</t>
  </si>
  <si>
    <t>Stretch Goal</t>
  </si>
  <si>
    <t>Total:</t>
  </si>
  <si>
    <t>Goal</t>
  </si>
  <si>
    <t>Formerly "website"</t>
  </si>
  <si>
    <t>Comms/FR Consultant</t>
  </si>
  <si>
    <t>What is this?</t>
  </si>
  <si>
    <t>Subscriptions and Software</t>
  </si>
  <si>
    <t>FY 25 Budget</t>
  </si>
  <si>
    <t>Adobe Creative Cloud</t>
  </si>
  <si>
    <t>Price increaded to $69.00 per month. Subscribed through UM IT at $200/year pp. JB</t>
  </si>
  <si>
    <t>Amazon Prime</t>
  </si>
  <si>
    <t>annual subscription--PAUSED on May 26, 2026 JB</t>
  </si>
  <si>
    <t>Associated Employers</t>
  </si>
  <si>
    <t>annual subscription--DID NOT RENEW JB</t>
  </si>
  <si>
    <t>Canva</t>
  </si>
  <si>
    <t>annual subscription</t>
  </si>
  <si>
    <t>DocuSign</t>
  </si>
  <si>
    <t>annual subscription-- Cancelled JB</t>
  </si>
  <si>
    <t>Gravity Kit</t>
  </si>
  <si>
    <t>annual subscription for website plugins</t>
  </si>
  <si>
    <t>Intuit annual fee</t>
  </si>
  <si>
    <t>Moved to QB Online $80/yr through TechSoup.org JB</t>
  </si>
  <si>
    <t>Intuit employee</t>
  </si>
  <si>
    <t>Moved Payroll Manager $50/yr JB</t>
  </si>
  <si>
    <t>Last Pass</t>
  </si>
  <si>
    <t>Cancelled JB</t>
  </si>
  <si>
    <t>Grant Station</t>
  </si>
  <si>
    <t>separated from MNA dues</t>
  </si>
  <si>
    <t>Microsoft</t>
  </si>
  <si>
    <t>UM provides</t>
  </si>
  <si>
    <t>Bloomerang</t>
  </si>
  <si>
    <t>Foundant</t>
  </si>
  <si>
    <t>Misc</t>
  </si>
  <si>
    <t>Montana Nonprofit Association</t>
  </si>
  <si>
    <t>MT Secretary of State</t>
  </si>
  <si>
    <t>Notes/Questions</t>
  </si>
  <si>
    <t>General and Administrative Expenses</t>
  </si>
  <si>
    <t>Endowment Expense</t>
  </si>
  <si>
    <t>Database Expense- Bloomerang</t>
  </si>
  <si>
    <t>Keep</t>
  </si>
  <si>
    <t>Network Expense - Foundant</t>
  </si>
  <si>
    <t>Bank and Credit Card Fees</t>
  </si>
  <si>
    <t>Total</t>
  </si>
  <si>
    <t>Vendor</t>
  </si>
  <si>
    <t>Amount</t>
  </si>
  <si>
    <t xml:space="preserve">Final Payroll </t>
  </si>
  <si>
    <t>Estimated Costs; Include payouts for sick and vacation</t>
  </si>
  <si>
    <t>University of Montana</t>
  </si>
  <si>
    <t>Final Lease payment, Parking, IT Support</t>
  </si>
  <si>
    <t>Payout contract, request refund, archive records</t>
  </si>
  <si>
    <t>Other Contracts</t>
  </si>
  <si>
    <t>Estimated Costs: Accountant, Digital Spark Creative, other?</t>
  </si>
  <si>
    <t>Subscriptions</t>
  </si>
  <si>
    <t>Cancel or payout all subscriptions</t>
  </si>
  <si>
    <t>Legal Fees</t>
  </si>
  <si>
    <t>estimated cost; need bid from firm</t>
  </si>
  <si>
    <t>FINAL Audit costs</t>
  </si>
  <si>
    <t>Other Costs</t>
  </si>
  <si>
    <t xml:space="preserve">This may not be the final list. Add additional costs if needed. </t>
  </si>
  <si>
    <t>MUST LEAVE THIS AMOUNT FOR FINAL CLOSING COSTS</t>
  </si>
  <si>
    <t>Assets to Disburse</t>
  </si>
  <si>
    <t>Update to Current Balance</t>
  </si>
  <si>
    <t>FIB Account</t>
  </si>
  <si>
    <t>Balance left after paying out closing costs</t>
  </si>
  <si>
    <t xml:space="preserve">*Determine what nonprofit to leave assets to (related to humanities mission). Need board approval. </t>
  </si>
  <si>
    <t>HM Grant Prospects</t>
  </si>
  <si>
    <t>Type</t>
  </si>
  <si>
    <t>Name</t>
  </si>
  <si>
    <t>Prior Gifts</t>
  </si>
  <si>
    <t>FY 26 Ask</t>
  </si>
  <si>
    <t>Proposal Due</t>
  </si>
  <si>
    <t>Report Due</t>
  </si>
  <si>
    <t>Business</t>
  </si>
  <si>
    <t>Bank of America</t>
  </si>
  <si>
    <t>BNSF</t>
  </si>
  <si>
    <t>Rolling</t>
  </si>
  <si>
    <t>First Interstate</t>
  </si>
  <si>
    <t>MDU Resources</t>
  </si>
  <si>
    <t>US Bank</t>
  </si>
  <si>
    <t>Wells Fargo</t>
  </si>
  <si>
    <t>Barnes and Noble Foundation</t>
  </si>
  <si>
    <t xml:space="preserve">Montana CU </t>
  </si>
  <si>
    <t>Clearwater CU</t>
  </si>
  <si>
    <t>Northwestern Energy</t>
  </si>
  <si>
    <t>Foundations</t>
  </si>
  <si>
    <t>Arthur Blank Foundation</t>
  </si>
  <si>
    <t>Browning-Kimball</t>
  </si>
  <si>
    <t>Denied</t>
  </si>
  <si>
    <t>Charles Bair</t>
  </si>
  <si>
    <t>Davidson Family Foundation</t>
  </si>
  <si>
    <t>Phyllis and Dennis Washington</t>
  </si>
  <si>
    <t xml:space="preserve">Application in Process </t>
  </si>
  <si>
    <t>Gallagher</t>
  </si>
  <si>
    <t>4/30 or 10/31</t>
  </si>
  <si>
    <t>Gianforte</t>
  </si>
  <si>
    <t xml:space="preserve">Quarterly </t>
  </si>
  <si>
    <t>3x per year</t>
  </si>
  <si>
    <t>Not currently a good fit with their priorities. continue to monitor</t>
  </si>
  <si>
    <t>LOI Submitted; asked to move forward with application process with Feb Deadline. DP, Family Power Fund-- $75,000.00 for one year.</t>
  </si>
  <si>
    <t>SS Heyneman Foundation</t>
  </si>
  <si>
    <t>4/30 and 9/30</t>
  </si>
  <si>
    <t>$15,910.00 received on 11/06/2025</t>
  </si>
  <si>
    <t>The Hearthland Foundation</t>
  </si>
  <si>
    <t>High Stakes Foundation</t>
  </si>
  <si>
    <t>Llewellen</t>
  </si>
  <si>
    <t>4/30 or 9/30</t>
  </si>
  <si>
    <t>$30,000 for DP in FY25</t>
  </si>
  <si>
    <t>Marguerite Casey Foundation</t>
  </si>
  <si>
    <t>MT Community Foundation/ Local Community Foundations</t>
  </si>
  <si>
    <t>Not  currently a good fit with their priorities. continue to monitor</t>
  </si>
  <si>
    <t>Murdock</t>
  </si>
  <si>
    <t> Strategic Investment Grant LOI Due DEC 26, 2025, asked for 148k over three years</t>
  </si>
  <si>
    <t>OP WE Edwards</t>
  </si>
  <si>
    <t>Introductory email sent 01/12/2025, received correspondance, no grantmaking to new orgs as of 2026</t>
  </si>
  <si>
    <t>Oro y Plata/Bruce Ennis</t>
  </si>
  <si>
    <t>Otto Bremer</t>
  </si>
  <si>
    <t>Sample Family Foundation</t>
  </si>
  <si>
    <t>Steele-Reese</t>
  </si>
  <si>
    <t>Treacy</t>
  </si>
  <si>
    <t>Wallace Foundation</t>
  </si>
  <si>
    <t>LOI mailed on 01/12/2025</t>
  </si>
  <si>
    <t>Williams Family Foundation</t>
  </si>
  <si>
    <t>Estimated Total</t>
  </si>
  <si>
    <t>Grand Total (estimated)</t>
  </si>
  <si>
    <t>FY26 Budget Updated</t>
  </si>
  <si>
    <t>No NEH</t>
  </si>
  <si>
    <t>FY25 Reserves</t>
  </si>
  <si>
    <t xml:space="preserve">Revenue  </t>
  </si>
  <si>
    <t>Support</t>
  </si>
  <si>
    <t>FSHC/Mellon Funds Carry Forward</t>
  </si>
  <si>
    <t>Spend by Dec 2026</t>
  </si>
  <si>
    <t>NEH GOS Grant</t>
  </si>
  <si>
    <t>Monthly Giving</t>
  </si>
  <si>
    <t>$400 per month currently</t>
  </si>
  <si>
    <t>Board Travel Donations</t>
  </si>
  <si>
    <t>MCF Endowment</t>
  </si>
  <si>
    <t>FIB Savings Acct Interest</t>
  </si>
  <si>
    <t>FY26 Total Income</t>
  </si>
  <si>
    <t>FY25 Reserves + FY26 Income</t>
  </si>
  <si>
    <t>Subtotal Personnel</t>
  </si>
  <si>
    <t>DP Library Stipends</t>
  </si>
  <si>
    <t>MT Center for the Book (One Book Montana/Statewide Read)</t>
  </si>
  <si>
    <t xml:space="preserve">By the People </t>
  </si>
  <si>
    <t xml:space="preserve">FSCH/Smithsonian Grant, collaboration with MAC </t>
  </si>
  <si>
    <t>Public Humanities Fellowships</t>
  </si>
  <si>
    <t>Mini-Grants</t>
  </si>
  <si>
    <t>Marketing/Website</t>
  </si>
  <si>
    <t>Development Consulatant</t>
  </si>
  <si>
    <t>Comms and FR support (reduced amount from $20,000 to $10,000.00)</t>
  </si>
  <si>
    <t>Executive Consultant</t>
  </si>
  <si>
    <t>Accounting/Bookkeeping</t>
  </si>
  <si>
    <t>Dues &amp; Subscriptions</t>
  </si>
  <si>
    <t>Federation Dues</t>
  </si>
  <si>
    <t>Based on FY25 Expenses</t>
  </si>
  <si>
    <t>Administrative Expenses</t>
  </si>
  <si>
    <t>Subtotal Other</t>
  </si>
  <si>
    <t xml:space="preserve">FY26 NET SURPLUS </t>
  </si>
  <si>
    <t>Reserves/Savings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</si>
</sst>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0.0%"/>
  </numFmts>
  <fonts count="5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12"/>
      <name val="Arial"/>
      <family val="2"/>
    </font>
    <font>
      <sz val="16"/>
      <color rgb="FF1F497D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trike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i/>
      <sz val="12"/>
      <name val="Arial"/>
      <family val="2"/>
    </font>
    <font>
      <i/>
      <sz val="12"/>
      <color theme="1" tint="0.499984740745262"/>
      <name val="Arial"/>
      <family val="2"/>
    </font>
    <font>
      <sz val="11"/>
      <color theme="1"/>
      <name val="Calibri"/>
      <family val="2"/>
      <scheme val="minor"/>
    </font>
    <font>
      <i/>
      <sz val="12"/>
      <color theme="0" tint="-0.499984740745262"/>
      <name val="Arial"/>
      <family val="2"/>
    </font>
    <font>
      <b/>
      <i/>
      <sz val="12"/>
      <color theme="0" tint="-0.499984740745262"/>
      <name val="Arial"/>
      <family val="2"/>
    </font>
    <font>
      <i/>
      <sz val="16"/>
      <color theme="0" tint="-0.499984740745262"/>
      <name val="Arial"/>
      <family val="2"/>
    </font>
    <font>
      <i/>
      <sz val="10"/>
      <color theme="0" tint="-0.499984740745262"/>
      <name val="Arial"/>
      <family val="2"/>
    </font>
    <font>
      <i/>
      <sz val="11"/>
      <color theme="0" tint="-0.499984740745262"/>
      <name val="Calibri"/>
      <family val="2"/>
      <scheme val="minor"/>
    </font>
    <font>
      <i/>
      <sz val="11"/>
      <color theme="0" tint="-0.499984740745262"/>
      <name val="Calibri"/>
      <family val="2"/>
    </font>
    <font>
      <sz val="12"/>
      <color theme="0" tint="-0.499984740745262"/>
      <name val="Arial"/>
      <family val="2"/>
    </font>
    <font>
      <b/>
      <sz val="12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6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2"/>
      <color theme="0" tint="-0.499984740745262"/>
      <name val="Calibri"/>
      <family val="2"/>
      <scheme val="minor"/>
    </font>
    <font>
      <b/>
      <sz val="10"/>
      <color theme="0" tint="-0.499984740745262"/>
      <name val="Arial"/>
      <family val="2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</font>
    <font>
      <sz val="12"/>
      <color theme="1" tint="0.499984740745262"/>
      <name val="Arial"/>
      <family val="2"/>
    </font>
    <font>
      <b/>
      <sz val="12"/>
      <color theme="1" tint="0.499984740745262"/>
      <name val="Arial"/>
      <family val="2"/>
    </font>
    <font>
      <u/>
      <sz val="8"/>
      <color theme="1" tint="0.499984740745262"/>
      <name val="Arial"/>
      <family val="2"/>
    </font>
    <font>
      <sz val="16"/>
      <color theme="1" tint="0.499984740745262"/>
      <name val="Arial"/>
      <family val="2"/>
    </font>
    <font>
      <u/>
      <sz val="8"/>
      <color theme="0" tint="-0.499984740745262"/>
      <name val="Arial"/>
      <family val="2"/>
    </font>
    <font>
      <b/>
      <sz val="12"/>
      <color indexed="23" tint="-0.499984740745262"/>
      <name val="Arial"/>
      <family val="2"/>
    </font>
    <font>
      <b/>
      <sz val="10"/>
      <color indexed="23"/>
      <name val="Arial"/>
      <family val="2"/>
    </font>
    <font>
      <b/>
      <sz val="11"/>
      <color indexed="2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 tint="-0.499984740745262"/>
      <name val="Arial"/>
      <family val="2"/>
    </font>
    <font>
      <b/>
      <sz val="10"/>
      <name val="Arial"/>
    </font>
  </fonts>
  <fills count="1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31" fillId="0" borderId="0"/>
  </cellStyleXfs>
  <cellXfs count="361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44" fontId="0" fillId="0" borderId="0" xfId="2" applyFont="1" applyAlignment="1"/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/>
    <xf numFmtId="0" fontId="9" fillId="0" borderId="0" xfId="0" applyFont="1" applyAlignment="1">
      <alignment horizontal="center"/>
    </xf>
    <xf numFmtId="44" fontId="9" fillId="0" borderId="0" xfId="2" applyFont="1" applyAlignment="1"/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17" fontId="0" fillId="0" borderId="0" xfId="0" applyNumberFormat="1"/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2" fillId="0" borderId="0" xfId="0" applyFont="1"/>
    <xf numFmtId="44" fontId="0" fillId="0" borderId="0" xfId="0" applyNumberFormat="1"/>
    <xf numFmtId="44" fontId="0" fillId="2" borderId="0" xfId="0" applyNumberFormat="1" applyFill="1"/>
    <xf numFmtId="0" fontId="0" fillId="0" borderId="7" xfId="0" applyBorder="1"/>
    <xf numFmtId="44" fontId="12" fillId="2" borderId="0" xfId="0" applyNumberFormat="1" applyFont="1" applyFill="1"/>
    <xf numFmtId="44" fontId="13" fillId="0" borderId="0" xfId="0" applyNumberFormat="1" applyFont="1" applyAlignment="1">
      <alignment horizontal="left" wrapText="1"/>
    </xf>
    <xf numFmtId="44" fontId="13" fillId="2" borderId="7" xfId="0" applyNumberFormat="1" applyFont="1" applyFill="1" applyBorder="1" applyAlignment="1">
      <alignment horizontal="left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right"/>
    </xf>
    <xf numFmtId="44" fontId="12" fillId="2" borderId="8" xfId="0" applyNumberFormat="1" applyFont="1" applyFill="1" applyBorder="1"/>
    <xf numFmtId="0" fontId="16" fillId="0" borderId="0" xfId="0" applyFont="1"/>
    <xf numFmtId="0" fontId="0" fillId="3" borderId="0" xfId="0" applyFill="1"/>
    <xf numFmtId="0" fontId="12" fillId="3" borderId="0" xfId="0" applyFont="1" applyFill="1"/>
    <xf numFmtId="44" fontId="12" fillId="3" borderId="0" xfId="0" applyNumberFormat="1" applyFont="1" applyFill="1"/>
    <xf numFmtId="44" fontId="0" fillId="3" borderId="0" xfId="0" applyNumberFormat="1" applyFill="1"/>
    <xf numFmtId="0" fontId="3" fillId="0" borderId="2" xfId="0" applyFont="1" applyBorder="1"/>
    <xf numFmtId="0" fontId="3" fillId="3" borderId="0" xfId="0" applyFont="1" applyFill="1"/>
    <xf numFmtId="38" fontId="12" fillId="0" borderId="0" xfId="0" applyNumberFormat="1" applyFont="1"/>
    <xf numFmtId="38" fontId="0" fillId="0" borderId="0" xfId="0" applyNumberFormat="1"/>
    <xf numFmtId="38" fontId="17" fillId="0" borderId="0" xfId="0" applyNumberFormat="1" applyFont="1"/>
    <xf numFmtId="38" fontId="0" fillId="0" borderId="0" xfId="0" applyNumberFormat="1" applyAlignment="1">
      <alignment horizontal="center"/>
    </xf>
    <xf numFmtId="38" fontId="12" fillId="0" borderId="0" xfId="0" applyNumberFormat="1" applyFont="1" applyAlignment="1">
      <alignment horizontal="center"/>
    </xf>
    <xf numFmtId="38" fontId="0" fillId="0" borderId="7" xfId="0" applyNumberFormat="1" applyBorder="1" applyAlignment="1">
      <alignment horizontal="center"/>
    </xf>
    <xf numFmtId="38" fontId="12" fillId="0" borderId="7" xfId="0" applyNumberFormat="1" applyFont="1" applyBorder="1" applyAlignment="1">
      <alignment horizontal="center"/>
    </xf>
    <xf numFmtId="38" fontId="0" fillId="0" borderId="0" xfId="0" quotePrefix="1" applyNumberFormat="1"/>
    <xf numFmtId="38" fontId="0" fillId="0" borderId="7" xfId="0" applyNumberFormat="1" applyBorder="1"/>
    <xf numFmtId="38" fontId="12" fillId="0" borderId="7" xfId="0" applyNumberFormat="1" applyFont="1" applyBorder="1"/>
    <xf numFmtId="40" fontId="0" fillId="0" borderId="0" xfId="0" applyNumberFormat="1"/>
    <xf numFmtId="0" fontId="18" fillId="0" borderId="0" xfId="0" applyFont="1"/>
    <xf numFmtId="0" fontId="19" fillId="0" borderId="0" xfId="0" applyFont="1" applyAlignment="1">
      <alignment horizontal="right"/>
    </xf>
    <xf numFmtId="0" fontId="18" fillId="0" borderId="2" xfId="0" applyFont="1" applyBorder="1"/>
    <xf numFmtId="0" fontId="19" fillId="0" borderId="2" xfId="0" applyFont="1" applyBorder="1" applyAlignment="1">
      <alignment horizontal="right"/>
    </xf>
    <xf numFmtId="0" fontId="21" fillId="0" borderId="2" xfId="0" applyFont="1" applyBorder="1" applyAlignment="1">
      <alignment horizontal="center"/>
    </xf>
    <xf numFmtId="0" fontId="20" fillId="0" borderId="5" xfId="0" applyFont="1" applyBorder="1"/>
    <xf numFmtId="0" fontId="20" fillId="4" borderId="1" xfId="0" applyFont="1" applyFill="1" applyBorder="1" applyAlignment="1">
      <alignment horizontal="right"/>
    </xf>
    <xf numFmtId="0" fontId="20" fillId="0" borderId="1" xfId="0" applyFont="1" applyBorder="1"/>
    <xf numFmtId="0" fontId="22" fillId="4" borderId="2" xfId="0" applyFont="1" applyFill="1" applyBorder="1" applyAlignment="1">
      <alignment horizontal="right"/>
    </xf>
    <xf numFmtId="0" fontId="23" fillId="0" borderId="0" xfId="0" applyFont="1"/>
    <xf numFmtId="0" fontId="24" fillId="0" borderId="0" xfId="0" applyFont="1"/>
    <xf numFmtId="0" fontId="0" fillId="0" borderId="19" xfId="0" applyBorder="1"/>
    <xf numFmtId="164" fontId="0" fillId="0" borderId="0" xfId="0" applyNumberFormat="1"/>
    <xf numFmtId="164" fontId="0" fillId="0" borderId="19" xfId="0" applyNumberFormat="1" applyBorder="1"/>
    <xf numFmtId="0" fontId="0" fillId="6" borderId="0" xfId="0" applyFill="1" applyAlignment="1">
      <alignment wrapText="1"/>
    </xf>
    <xf numFmtId="0" fontId="6" fillId="0" borderId="0" xfId="0" applyFont="1"/>
    <xf numFmtId="0" fontId="5" fillId="0" borderId="0" xfId="1" applyFont="1" applyAlignment="1" applyProtection="1">
      <alignment horizontal="center"/>
    </xf>
    <xf numFmtId="0" fontId="8" fillId="0" borderId="0" xfId="0" applyFont="1"/>
    <xf numFmtId="0" fontId="20" fillId="0" borderId="0" xfId="0" applyFont="1" applyAlignment="1">
      <alignment horizontal="center"/>
    </xf>
    <xf numFmtId="164" fontId="20" fillId="0" borderId="3" xfId="0" applyNumberFormat="1" applyFont="1" applyBorder="1"/>
    <xf numFmtId="164" fontId="20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7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6" fillId="0" borderId="1" xfId="0" applyFont="1" applyBorder="1"/>
    <xf numFmtId="164" fontId="30" fillId="0" borderId="3" xfId="0" applyNumberFormat="1" applyFont="1" applyBorder="1"/>
    <xf numFmtId="0" fontId="20" fillId="0" borderId="0" xfId="0" applyFont="1"/>
    <xf numFmtId="0" fontId="12" fillId="0" borderId="19" xfId="5" applyFont="1" applyBorder="1" applyAlignment="1">
      <alignment wrapText="1"/>
    </xf>
    <xf numFmtId="0" fontId="31" fillId="0" borderId="0" xfId="5" applyAlignment="1">
      <alignment wrapText="1"/>
    </xf>
    <xf numFmtId="44" fontId="31" fillId="0" borderId="0" xfId="5" applyNumberFormat="1" applyAlignment="1">
      <alignment wrapText="1"/>
    </xf>
    <xf numFmtId="44" fontId="12" fillId="0" borderId="19" xfId="5" applyNumberFormat="1" applyFont="1" applyBorder="1" applyAlignment="1">
      <alignment wrapText="1"/>
    </xf>
    <xf numFmtId="6" fontId="31" fillId="0" borderId="0" xfId="5" applyNumberFormat="1" applyAlignment="1">
      <alignment wrapText="1"/>
    </xf>
    <xf numFmtId="44" fontId="27" fillId="0" borderId="0" xfId="2" applyFont="1" applyAlignment="1"/>
    <xf numFmtId="44" fontId="26" fillId="0" borderId="0" xfId="2" applyFont="1" applyAlignment="1"/>
    <xf numFmtId="9" fontId="0" fillId="0" borderId="0" xfId="4" applyFont="1"/>
    <xf numFmtId="0" fontId="21" fillId="0" borderId="0" xfId="0" applyFont="1"/>
    <xf numFmtId="0" fontId="12" fillId="0" borderId="20" xfId="5" applyFont="1" applyBorder="1" applyAlignment="1">
      <alignment wrapText="1"/>
    </xf>
    <xf numFmtId="0" fontId="12" fillId="0" borderId="22" xfId="5" applyFont="1" applyBorder="1" applyAlignment="1">
      <alignment wrapText="1"/>
    </xf>
    <xf numFmtId="0" fontId="1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/>
    <xf numFmtId="0" fontId="3" fillId="3" borderId="9" xfId="0" applyFont="1" applyFill="1" applyBorder="1"/>
    <xf numFmtId="0" fontId="6" fillId="3" borderId="10" xfId="0" applyFont="1" applyFill="1" applyBorder="1"/>
    <xf numFmtId="0" fontId="6" fillId="4" borderId="15" xfId="0" applyFont="1" applyFill="1" applyBorder="1"/>
    <xf numFmtId="0" fontId="3" fillId="3" borderId="10" xfId="0" applyFont="1" applyFill="1" applyBorder="1"/>
    <xf numFmtId="0" fontId="6" fillId="3" borderId="16" xfId="0" applyFont="1" applyFill="1" applyBorder="1"/>
    <xf numFmtId="0" fontId="6" fillId="3" borderId="17" xfId="0" applyFont="1" applyFill="1" applyBorder="1"/>
    <xf numFmtId="164" fontId="6" fillId="0" borderId="17" xfId="0" applyNumberFormat="1" applyFont="1" applyBorder="1"/>
    <xf numFmtId="0" fontId="3" fillId="3" borderId="17" xfId="0" applyFont="1" applyFill="1" applyBorder="1"/>
    <xf numFmtId="0" fontId="6" fillId="0" borderId="6" xfId="0" applyFont="1" applyBorder="1"/>
    <xf numFmtId="164" fontId="6" fillId="0" borderId="14" xfId="0" applyNumberFormat="1" applyFont="1" applyBorder="1"/>
    <xf numFmtId="0" fontId="6" fillId="3" borderId="1" xfId="0" applyFont="1" applyFill="1" applyBorder="1"/>
    <xf numFmtId="0" fontId="6" fillId="3" borderId="5" xfId="0" applyFont="1" applyFill="1" applyBorder="1"/>
    <xf numFmtId="164" fontId="6" fillId="0" borderId="1" xfId="0" applyNumberFormat="1" applyFont="1" applyBorder="1"/>
    <xf numFmtId="164" fontId="6" fillId="0" borderId="3" xfId="0" applyNumberFormat="1" applyFont="1" applyBorder="1"/>
    <xf numFmtId="0" fontId="3" fillId="3" borderId="3" xfId="0" applyFont="1" applyFill="1" applyBorder="1"/>
    <xf numFmtId="0" fontId="6" fillId="3" borderId="2" xfId="0" applyFont="1" applyFill="1" applyBorder="1"/>
    <xf numFmtId="164" fontId="6" fillId="0" borderId="2" xfId="0" applyNumberFormat="1" applyFont="1" applyBorder="1"/>
    <xf numFmtId="0" fontId="3" fillId="3" borderId="2" xfId="0" applyFont="1" applyFill="1" applyBorder="1"/>
    <xf numFmtId="0" fontId="6" fillId="3" borderId="0" xfId="0" applyFont="1" applyFill="1"/>
    <xf numFmtId="0" fontId="6" fillId="0" borderId="3" xfId="0" applyFont="1" applyBorder="1"/>
    <xf numFmtId="0" fontId="6" fillId="0" borderId="2" xfId="0" applyFont="1" applyBorder="1"/>
    <xf numFmtId="0" fontId="6" fillId="0" borderId="4" xfId="0" applyFont="1" applyBorder="1"/>
    <xf numFmtId="0" fontId="3" fillId="0" borderId="3" xfId="0" applyFont="1" applyBorder="1"/>
    <xf numFmtId="0" fontId="3" fillId="0" borderId="9" xfId="0" applyFont="1" applyBorder="1"/>
    <xf numFmtId="38" fontId="13" fillId="0" borderId="0" xfId="0" applyNumberFormat="1" applyFont="1"/>
    <xf numFmtId="0" fontId="8" fillId="0" borderId="0" xfId="0" applyFont="1" applyAlignment="1">
      <alignment vertical="top"/>
    </xf>
    <xf numFmtId="0" fontId="13" fillId="0" borderId="19" xfId="0" applyFont="1" applyBorder="1"/>
    <xf numFmtId="164" fontId="13" fillId="0" borderId="19" xfId="0" applyNumberFormat="1" applyFont="1" applyBorder="1"/>
    <xf numFmtId="164" fontId="13" fillId="6" borderId="0" xfId="0" applyNumberFormat="1" applyFont="1" applyFill="1"/>
    <xf numFmtId="0" fontId="13" fillId="6" borderId="0" xfId="0" applyFont="1" applyFill="1"/>
    <xf numFmtId="0" fontId="15" fillId="3" borderId="0" xfId="0" applyFont="1" applyFill="1"/>
    <xf numFmtId="0" fontId="15" fillId="0" borderId="0" xfId="0" applyFont="1"/>
    <xf numFmtId="164" fontId="6" fillId="4" borderId="1" xfId="0" applyNumberFormat="1" applyFont="1" applyFill="1" applyBorder="1"/>
    <xf numFmtId="0" fontId="6" fillId="0" borderId="1" xfId="0" applyFont="1" applyBorder="1" applyAlignment="1">
      <alignment wrapText="1"/>
    </xf>
    <xf numFmtId="44" fontId="20" fillId="0" borderId="0" xfId="5" applyNumberFormat="1" applyFont="1" applyAlignment="1">
      <alignment wrapText="1"/>
    </xf>
    <xf numFmtId="0" fontId="32" fillId="0" borderId="0" xfId="0" applyFont="1" applyAlignment="1">
      <alignment wrapText="1"/>
    </xf>
    <xf numFmtId="0" fontId="33" fillId="4" borderId="0" xfId="0" applyFont="1" applyFill="1" applyAlignment="1">
      <alignment wrapText="1"/>
    </xf>
    <xf numFmtId="0" fontId="32" fillId="0" borderId="2" xfId="0" applyFont="1" applyBorder="1" applyAlignment="1">
      <alignment wrapText="1"/>
    </xf>
    <xf numFmtId="0" fontId="32" fillId="3" borderId="10" xfId="0" applyFont="1" applyFill="1" applyBorder="1" applyAlignment="1">
      <alignment wrapText="1"/>
    </xf>
    <xf numFmtId="0" fontId="32" fillId="4" borderId="10" xfId="0" applyFont="1" applyFill="1" applyBorder="1" applyAlignment="1">
      <alignment wrapText="1"/>
    </xf>
    <xf numFmtId="0" fontId="32" fillId="3" borderId="18" xfId="0" applyFont="1" applyFill="1" applyBorder="1" applyAlignment="1">
      <alignment wrapText="1"/>
    </xf>
    <xf numFmtId="0" fontId="32" fillId="2" borderId="11" xfId="0" applyFont="1" applyFill="1" applyBorder="1" applyAlignment="1">
      <alignment wrapText="1"/>
    </xf>
    <xf numFmtId="0" fontId="32" fillId="3" borderId="2" xfId="0" applyFont="1" applyFill="1" applyBorder="1" applyAlignment="1">
      <alignment wrapText="1"/>
    </xf>
    <xf numFmtId="0" fontId="32" fillId="2" borderId="2" xfId="0" applyFont="1" applyFill="1" applyBorder="1" applyAlignment="1">
      <alignment wrapText="1"/>
    </xf>
    <xf numFmtId="9" fontId="32" fillId="2" borderId="2" xfId="0" applyNumberFormat="1" applyFont="1" applyFill="1" applyBorder="1" applyAlignment="1">
      <alignment horizontal="left" wrapText="1"/>
    </xf>
    <xf numFmtId="0" fontId="34" fillId="0" borderId="0" xfId="0" applyFont="1"/>
    <xf numFmtId="0" fontId="34" fillId="0" borderId="2" xfId="0" applyFont="1" applyBorder="1"/>
    <xf numFmtId="0" fontId="34" fillId="3" borderId="0" xfId="0" applyFont="1" applyFill="1"/>
    <xf numFmtId="0" fontId="35" fillId="0" borderId="0" xfId="0" applyFont="1"/>
    <xf numFmtId="0" fontId="36" fillId="0" borderId="0" xfId="5" applyFont="1" applyAlignment="1">
      <alignment wrapText="1"/>
    </xf>
    <xf numFmtId="0" fontId="37" fillId="0" borderId="0" xfId="0" applyFont="1"/>
    <xf numFmtId="0" fontId="37" fillId="0" borderId="0" xfId="0" applyFont="1" applyAlignment="1">
      <alignment horizontal="center"/>
    </xf>
    <xf numFmtId="0" fontId="37" fillId="0" borderId="7" xfId="0" applyFont="1" applyBorder="1" applyAlignment="1">
      <alignment horizontal="center"/>
    </xf>
    <xf numFmtId="44" fontId="20" fillId="0" borderId="0" xfId="0" applyNumberFormat="1" applyFont="1"/>
    <xf numFmtId="6" fontId="20" fillId="0" borderId="0" xfId="5" applyNumberFormat="1" applyFont="1" applyAlignment="1">
      <alignment wrapText="1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38" fillId="0" borderId="2" xfId="0" applyFont="1" applyBorder="1" applyAlignment="1">
      <alignment horizontal="center"/>
    </xf>
    <xf numFmtId="164" fontId="38" fillId="0" borderId="2" xfId="0" applyNumberFormat="1" applyFont="1" applyBorder="1"/>
    <xf numFmtId="164" fontId="38" fillId="0" borderId="1" xfId="0" applyNumberFormat="1" applyFont="1" applyBorder="1"/>
    <xf numFmtId="164" fontId="38" fillId="0" borderId="17" xfId="0" applyNumberFormat="1" applyFont="1" applyBorder="1"/>
    <xf numFmtId="164" fontId="38" fillId="0" borderId="6" xfId="0" applyNumberFormat="1" applyFont="1" applyBorder="1"/>
    <xf numFmtId="164" fontId="39" fillId="0" borderId="1" xfId="0" applyNumberFormat="1" applyFont="1" applyBorder="1"/>
    <xf numFmtId="164" fontId="40" fillId="5" borderId="2" xfId="0" applyNumberFormat="1" applyFont="1" applyFill="1" applyBorder="1"/>
    <xf numFmtId="0" fontId="41" fillId="0" borderId="0" xfId="0" applyFont="1"/>
    <xf numFmtId="0" fontId="39" fillId="5" borderId="0" xfId="0" applyFont="1" applyFill="1" applyAlignment="1">
      <alignment horizontal="center"/>
    </xf>
    <xf numFmtId="164" fontId="38" fillId="4" borderId="1" xfId="0" applyNumberFormat="1" applyFont="1" applyFill="1" applyBorder="1"/>
    <xf numFmtId="164" fontId="38" fillId="4" borderId="5" xfId="0" applyNumberFormat="1" applyFont="1" applyFill="1" applyBorder="1"/>
    <xf numFmtId="164" fontId="38" fillId="3" borderId="6" xfId="0" applyNumberFormat="1" applyFont="1" applyFill="1" applyBorder="1"/>
    <xf numFmtId="164" fontId="39" fillId="4" borderId="5" xfId="0" applyNumberFormat="1" applyFont="1" applyFill="1" applyBorder="1"/>
    <xf numFmtId="164" fontId="38" fillId="3" borderId="10" xfId="0" applyNumberFormat="1" applyFont="1" applyFill="1" applyBorder="1"/>
    <xf numFmtId="44" fontId="42" fillId="0" borderId="0" xfId="2" applyFont="1" applyAlignment="1"/>
    <xf numFmtId="44" fontId="43" fillId="0" borderId="0" xfId="2" applyFont="1" applyAlignment="1">
      <alignment horizontal="center" vertical="center" wrapText="1"/>
    </xf>
    <xf numFmtId="44" fontId="43" fillId="0" borderId="0" xfId="2" applyFont="1" applyAlignment="1"/>
    <xf numFmtId="4" fontId="42" fillId="0" borderId="0" xfId="0" applyNumberFormat="1" applyFont="1"/>
    <xf numFmtId="0" fontId="42" fillId="0" borderId="0" xfId="0" applyFont="1"/>
    <xf numFmtId="44" fontId="44" fillId="0" borderId="0" xfId="0" applyNumberFormat="1" applyFont="1" applyAlignment="1">
      <alignment horizontal="left" wrapText="1"/>
    </xf>
    <xf numFmtId="44" fontId="44" fillId="2" borderId="7" xfId="0" applyNumberFormat="1" applyFont="1" applyFill="1" applyBorder="1" applyAlignment="1">
      <alignment horizontal="left" wrapText="1"/>
    </xf>
    <xf numFmtId="44" fontId="42" fillId="2" borderId="0" xfId="0" applyNumberFormat="1" applyFont="1" applyFill="1"/>
    <xf numFmtId="0" fontId="45" fillId="2" borderId="0" xfId="0" applyFont="1" applyFill="1"/>
    <xf numFmtId="44" fontId="45" fillId="2" borderId="0" xfId="0" applyNumberFormat="1" applyFont="1" applyFill="1"/>
    <xf numFmtId="44" fontId="45" fillId="3" borderId="0" xfId="0" applyNumberFormat="1" applyFont="1" applyFill="1"/>
    <xf numFmtId="44" fontId="42" fillId="3" borderId="0" xfId="0" applyNumberFormat="1" applyFont="1" applyFill="1"/>
    <xf numFmtId="0" fontId="46" fillId="0" borderId="0" xfId="5" applyFont="1" applyAlignment="1">
      <alignment wrapText="1"/>
    </xf>
    <xf numFmtId="0" fontId="45" fillId="0" borderId="19" xfId="5" applyFont="1" applyBorder="1" applyAlignment="1">
      <alignment wrapText="1"/>
    </xf>
    <xf numFmtId="6" fontId="46" fillId="0" borderId="0" xfId="5" applyNumberFormat="1" applyFont="1" applyAlignment="1">
      <alignment wrapText="1"/>
    </xf>
    <xf numFmtId="0" fontId="47" fillId="0" borderId="0" xfId="0" applyFont="1"/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8" fillId="0" borderId="2" xfId="0" applyFont="1" applyBorder="1" applyAlignment="1">
      <alignment horizontal="center"/>
    </xf>
    <xf numFmtId="164" fontId="48" fillId="0" borderId="17" xfId="0" applyNumberFormat="1" applyFont="1" applyBorder="1"/>
    <xf numFmtId="164" fontId="48" fillId="0" borderId="14" xfId="0" applyNumberFormat="1" applyFont="1" applyBorder="1"/>
    <xf numFmtId="164" fontId="48" fillId="0" borderId="3" xfId="0" applyNumberFormat="1" applyFont="1" applyBorder="1"/>
    <xf numFmtId="164" fontId="49" fillId="0" borderId="3" xfId="0" applyNumberFormat="1" applyFont="1" applyBorder="1"/>
    <xf numFmtId="0" fontId="50" fillId="0" borderId="0" xfId="1" applyFont="1" applyAlignment="1" applyProtection="1">
      <alignment horizontal="center"/>
    </xf>
    <xf numFmtId="0" fontId="51" fillId="0" borderId="0" xfId="0" applyFont="1"/>
    <xf numFmtId="0" fontId="13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44" fontId="8" fillId="0" borderId="0" xfId="2" applyFont="1" applyAlignment="1"/>
    <xf numFmtId="14" fontId="8" fillId="0" borderId="0" xfId="0" applyNumberFormat="1" applyFont="1" applyAlignment="1">
      <alignment horizontal="left" wrapText="1"/>
    </xf>
    <xf numFmtId="0" fontId="8" fillId="0" borderId="0" xfId="0" applyFont="1" applyAlignment="1">
      <alignment wrapText="1"/>
    </xf>
    <xf numFmtId="14" fontId="13" fillId="0" borderId="0" xfId="0" applyNumberFormat="1" applyFont="1" applyAlignment="1">
      <alignment horizontal="left" wrapText="1"/>
    </xf>
    <xf numFmtId="0" fontId="13" fillId="0" borderId="7" xfId="0" applyFont="1" applyBorder="1" applyAlignment="1">
      <alignment horizontal="left" wrapText="1"/>
    </xf>
    <xf numFmtId="44" fontId="8" fillId="2" borderId="0" xfId="0" applyNumberFormat="1" applyFont="1" applyFill="1"/>
    <xf numFmtId="44" fontId="8" fillId="3" borderId="0" xfId="0" applyNumberFormat="1" applyFont="1" applyFill="1"/>
    <xf numFmtId="0" fontId="8" fillId="3" borderId="0" xfId="0" applyFont="1" applyFill="1"/>
    <xf numFmtId="0" fontId="2" fillId="0" borderId="0" xfId="5" applyFont="1" applyAlignment="1">
      <alignment wrapText="1"/>
    </xf>
    <xf numFmtId="9" fontId="39" fillId="0" borderId="0" xfId="4" applyFont="1" applyFill="1" applyAlignment="1">
      <alignment horizontal="center"/>
    </xf>
    <xf numFmtId="9" fontId="38" fillId="0" borderId="2" xfId="4" applyFont="1" applyFill="1" applyBorder="1" applyAlignment="1">
      <alignment horizontal="center"/>
    </xf>
    <xf numFmtId="9" fontId="38" fillId="0" borderId="17" xfId="4" applyFont="1" applyFill="1" applyBorder="1"/>
    <xf numFmtId="9" fontId="38" fillId="0" borderId="14" xfId="4" applyFont="1" applyFill="1" applyBorder="1"/>
    <xf numFmtId="9" fontId="39" fillId="0" borderId="14" xfId="4" applyFont="1" applyFill="1" applyBorder="1"/>
    <xf numFmtId="9" fontId="52" fillId="0" borderId="0" xfId="4" applyFont="1" applyAlignment="1" applyProtection="1">
      <alignment horizontal="center"/>
    </xf>
    <xf numFmtId="9" fontId="41" fillId="0" borderId="0" xfId="4" applyFont="1"/>
    <xf numFmtId="0" fontId="38" fillId="0" borderId="0" xfId="0" applyFont="1" applyAlignment="1">
      <alignment wrapText="1"/>
    </xf>
    <xf numFmtId="0" fontId="39" fillId="4" borderId="0" xfId="0" applyFont="1" applyFill="1" applyAlignment="1">
      <alignment wrapText="1"/>
    </xf>
    <xf numFmtId="0" fontId="38" fillId="0" borderId="2" xfId="0" applyFont="1" applyBorder="1" applyAlignment="1">
      <alignment wrapText="1"/>
    </xf>
    <xf numFmtId="0" fontId="38" fillId="2" borderId="2" xfId="0" applyFont="1" applyFill="1" applyBorder="1" applyAlignment="1">
      <alignment wrapText="1"/>
    </xf>
    <xf numFmtId="0" fontId="38" fillId="3" borderId="2" xfId="0" applyFont="1" applyFill="1" applyBorder="1" applyAlignment="1">
      <alignment wrapText="1"/>
    </xf>
    <xf numFmtId="9" fontId="38" fillId="2" borderId="2" xfId="0" applyNumberFormat="1" applyFont="1" applyFill="1" applyBorder="1" applyAlignment="1">
      <alignment horizontal="left" wrapText="1"/>
    </xf>
    <xf numFmtId="0" fontId="38" fillId="2" borderId="10" xfId="0" applyFont="1" applyFill="1" applyBorder="1" applyAlignment="1">
      <alignment wrapText="1"/>
    </xf>
    <xf numFmtId="0" fontId="38" fillId="3" borderId="10" xfId="0" applyFont="1" applyFill="1" applyBorder="1" applyAlignment="1">
      <alignment wrapText="1"/>
    </xf>
    <xf numFmtId="0" fontId="38" fillId="4" borderId="2" xfId="0" applyFont="1" applyFill="1" applyBorder="1" applyAlignment="1">
      <alignment wrapText="1"/>
    </xf>
    <xf numFmtId="0" fontId="42" fillId="0" borderId="0" xfId="0" applyFont="1" applyAlignment="1">
      <alignment horizontal="left" wrapText="1"/>
    </xf>
    <xf numFmtId="0" fontId="43" fillId="0" borderId="0" xfId="0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4" fillId="0" borderId="0" xfId="0" applyFont="1"/>
    <xf numFmtId="165" fontId="42" fillId="0" borderId="0" xfId="3" applyNumberFormat="1" applyFont="1" applyAlignment="1">
      <alignment horizontal="right"/>
    </xf>
    <xf numFmtId="14" fontId="38" fillId="0" borderId="0" xfId="4" applyNumberFormat="1" applyFont="1" applyAlignment="1">
      <alignment horizontal="center"/>
    </xf>
    <xf numFmtId="14" fontId="38" fillId="0" borderId="0" xfId="0" applyNumberFormat="1" applyFont="1" applyAlignment="1">
      <alignment wrapText="1"/>
    </xf>
    <xf numFmtId="14" fontId="42" fillId="0" borderId="0" xfId="0" applyNumberFormat="1" applyFont="1" applyAlignment="1">
      <alignment horizontal="left" wrapText="1"/>
    </xf>
    <xf numFmtId="14" fontId="42" fillId="0" borderId="0" xfId="0" applyNumberFormat="1" applyFont="1"/>
    <xf numFmtId="14" fontId="46" fillId="0" borderId="0" xfId="5" applyNumberFormat="1" applyFont="1" applyAlignment="1">
      <alignment wrapText="1"/>
    </xf>
    <xf numFmtId="14" fontId="47" fillId="0" borderId="0" xfId="0" applyNumberFormat="1" applyFont="1"/>
    <xf numFmtId="164" fontId="53" fillId="4" borderId="1" xfId="0" applyNumberFormat="1" applyFont="1" applyFill="1" applyBorder="1"/>
    <xf numFmtId="0" fontId="53" fillId="2" borderId="2" xfId="0" applyFont="1" applyFill="1" applyBorder="1" applyAlignment="1">
      <alignment wrapText="1"/>
    </xf>
    <xf numFmtId="0" fontId="54" fillId="0" borderId="0" xfId="0" applyFont="1"/>
    <xf numFmtId="0" fontId="54" fillId="0" borderId="0" xfId="0" applyFont="1" applyAlignment="1">
      <alignment wrapText="1"/>
    </xf>
    <xf numFmtId="0" fontId="55" fillId="0" borderId="0" xfId="5" applyFont="1" applyAlignment="1">
      <alignment wrapText="1"/>
    </xf>
    <xf numFmtId="9" fontId="38" fillId="0" borderId="0" xfId="0" applyNumberFormat="1" applyFont="1" applyAlignment="1">
      <alignment wrapText="1"/>
    </xf>
    <xf numFmtId="9" fontId="42" fillId="0" borderId="0" xfId="0" applyNumberFormat="1" applyFont="1" applyAlignment="1">
      <alignment wrapText="1"/>
    </xf>
    <xf numFmtId="9" fontId="42" fillId="0" borderId="0" xfId="0" applyNumberFormat="1" applyFont="1"/>
    <xf numFmtId="9" fontId="46" fillId="0" borderId="0" xfId="5" applyNumberFormat="1" applyFont="1" applyAlignment="1">
      <alignment wrapText="1"/>
    </xf>
    <xf numFmtId="164" fontId="32" fillId="0" borderId="1" xfId="0" applyNumberFormat="1" applyFont="1" applyBorder="1"/>
    <xf numFmtId="9" fontId="32" fillId="0" borderId="14" xfId="4" applyFont="1" applyFill="1" applyBorder="1"/>
    <xf numFmtId="164" fontId="29" fillId="0" borderId="3" xfId="0" applyNumberFormat="1" applyFont="1" applyBorder="1"/>
    <xf numFmtId="44" fontId="47" fillId="0" borderId="0" xfId="2" applyFont="1" applyAlignment="1"/>
    <xf numFmtId="44" fontId="20" fillId="0" borderId="0" xfId="2" applyFont="1" applyAlignment="1"/>
    <xf numFmtId="0" fontId="13" fillId="0" borderId="0" xfId="0" applyFont="1"/>
    <xf numFmtId="0" fontId="27" fillId="0" borderId="24" xfId="0" applyFont="1" applyBorder="1"/>
    <xf numFmtId="44" fontId="42" fillId="0" borderId="24" xfId="2" applyFont="1" applyBorder="1" applyAlignment="1"/>
    <xf numFmtId="44" fontId="8" fillId="0" borderId="24" xfId="2" applyFont="1" applyBorder="1" applyAlignment="1"/>
    <xf numFmtId="44" fontId="0" fillId="0" borderId="24" xfId="2" applyFont="1" applyBorder="1" applyAlignment="1"/>
    <xf numFmtId="44" fontId="13" fillId="0" borderId="0" xfId="2" applyFont="1" applyAlignment="1"/>
    <xf numFmtId="44" fontId="27" fillId="0" borderId="24" xfId="2" applyFont="1" applyBorder="1" applyAlignment="1"/>
    <xf numFmtId="9" fontId="0" fillId="0" borderId="0" xfId="4" applyFont="1" applyBorder="1"/>
    <xf numFmtId="9" fontId="8" fillId="0" borderId="0" xfId="4" applyFont="1" applyBorder="1" applyAlignment="1"/>
    <xf numFmtId="0" fontId="0" fillId="0" borderId="0" xfId="2" applyNumberFormat="1" applyFont="1" applyAlignment="1"/>
    <xf numFmtId="44" fontId="56" fillId="2" borderId="0" xfId="2" applyFont="1" applyFill="1" applyAlignment="1"/>
    <xf numFmtId="44" fontId="8" fillId="2" borderId="0" xfId="2" applyFont="1" applyFill="1" applyAlignment="1"/>
    <xf numFmtId="44" fontId="56" fillId="3" borderId="0" xfId="2" applyFont="1" applyFill="1" applyAlignment="1"/>
    <xf numFmtId="44" fontId="8" fillId="3" borderId="0" xfId="2" applyFont="1" applyFill="1" applyAlignment="1"/>
    <xf numFmtId="0" fontId="57" fillId="0" borderId="0" xfId="0" applyFont="1"/>
    <xf numFmtId="0" fontId="29" fillId="0" borderId="1" xfId="0" applyFont="1" applyBorder="1" applyAlignment="1">
      <alignment horizontal="left" indent="1"/>
    </xf>
    <xf numFmtId="0" fontId="29" fillId="0" borderId="1" xfId="0" applyFont="1" applyBorder="1"/>
    <xf numFmtId="0" fontId="29" fillId="0" borderId="1" xfId="0" applyFont="1" applyBorder="1" applyAlignment="1">
      <alignment horizontal="left" wrapText="1" indent="1"/>
    </xf>
    <xf numFmtId="166" fontId="0" fillId="0" borderId="0" xfId="4" applyNumberFormat="1" applyFont="1"/>
    <xf numFmtId="166" fontId="0" fillId="0" borderId="0" xfId="4" applyNumberFormat="1" applyFont="1" applyBorder="1"/>
    <xf numFmtId="10" fontId="0" fillId="0" borderId="0" xfId="4" applyNumberFormat="1" applyFont="1"/>
    <xf numFmtId="44" fontId="31" fillId="0" borderId="0" xfId="2" applyFont="1" applyAlignment="1">
      <alignment wrapText="1"/>
    </xf>
    <xf numFmtId="44" fontId="12" fillId="0" borderId="19" xfId="2" applyFont="1" applyBorder="1" applyAlignment="1">
      <alignment wrapText="1"/>
    </xf>
    <xf numFmtId="44" fontId="12" fillId="0" borderId="21" xfId="2" applyFont="1" applyBorder="1" applyAlignment="1">
      <alignment wrapText="1"/>
    </xf>
    <xf numFmtId="44" fontId="12" fillId="0" borderId="23" xfId="2" applyFont="1" applyBorder="1" applyAlignment="1">
      <alignment wrapText="1"/>
    </xf>
    <xf numFmtId="6" fontId="1" fillId="0" borderId="0" xfId="5" applyNumberFormat="1" applyFont="1" applyAlignment="1">
      <alignment wrapText="1"/>
    </xf>
    <xf numFmtId="0" fontId="1" fillId="0" borderId="0" xfId="5" applyFont="1" applyAlignment="1">
      <alignment wrapText="1"/>
    </xf>
    <xf numFmtId="8" fontId="0" fillId="0" borderId="0" xfId="0" applyNumberFormat="1"/>
    <xf numFmtId="8" fontId="0" fillId="0" borderId="0" xfId="2" applyNumberFormat="1" applyFont="1" applyAlignment="1"/>
    <xf numFmtId="44" fontId="13" fillId="0" borderId="0" xfId="0" applyNumberFormat="1" applyFont="1"/>
    <xf numFmtId="44" fontId="6" fillId="0" borderId="6" xfId="2" applyFont="1" applyBorder="1" applyAlignment="1"/>
    <xf numFmtId="44" fontId="1" fillId="0" borderId="0" xfId="2" applyFont="1" applyAlignment="1">
      <alignment wrapText="1"/>
    </xf>
    <xf numFmtId="14" fontId="1" fillId="0" borderId="0" xfId="5" applyNumberFormat="1" applyFont="1" applyAlignment="1">
      <alignment wrapText="1"/>
    </xf>
    <xf numFmtId="0" fontId="1" fillId="0" borderId="0" xfId="0" applyFont="1"/>
    <xf numFmtId="0" fontId="20" fillId="0" borderId="6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6" fillId="0" borderId="11" xfId="0" applyFont="1" applyBorder="1" applyAlignment="1">
      <alignment wrapText="1"/>
    </xf>
    <xf numFmtId="9" fontId="6" fillId="0" borderId="2" xfId="0" applyNumberFormat="1" applyFont="1" applyBorder="1" applyAlignment="1">
      <alignment horizontal="left" wrapText="1"/>
    </xf>
    <xf numFmtId="0" fontId="6" fillId="7" borderId="3" xfId="0" applyFont="1" applyFill="1" applyBorder="1"/>
    <xf numFmtId="164" fontId="39" fillId="7" borderId="2" xfId="0" applyNumberFormat="1" applyFont="1" applyFill="1" applyBorder="1"/>
    <xf numFmtId="164" fontId="49" fillId="7" borderId="2" xfId="0" applyNumberFormat="1" applyFont="1" applyFill="1" applyBorder="1"/>
    <xf numFmtId="9" fontId="39" fillId="7" borderId="14" xfId="4" applyFont="1" applyFill="1" applyBorder="1"/>
    <xf numFmtId="44" fontId="20" fillId="7" borderId="2" xfId="2" applyFont="1" applyFill="1" applyBorder="1" applyAlignment="1"/>
    <xf numFmtId="0" fontId="20" fillId="8" borderId="1" xfId="0" applyFont="1" applyFill="1" applyBorder="1"/>
    <xf numFmtId="164" fontId="39" fillId="8" borderId="1" xfId="0" applyNumberFormat="1" applyFont="1" applyFill="1" applyBorder="1"/>
    <xf numFmtId="9" fontId="39" fillId="8" borderId="14" xfId="4" applyFont="1" applyFill="1" applyBorder="1"/>
    <xf numFmtId="164" fontId="20" fillId="8" borderId="1" xfId="0" applyNumberFormat="1" applyFont="1" applyFill="1" applyBorder="1"/>
    <xf numFmtId="0" fontId="20" fillId="9" borderId="1" xfId="0" applyFont="1" applyFill="1" applyBorder="1"/>
    <xf numFmtId="164" fontId="39" fillId="9" borderId="1" xfId="0" applyNumberFormat="1" applyFont="1" applyFill="1" applyBorder="1"/>
    <xf numFmtId="9" fontId="38" fillId="9" borderId="14" xfId="4" applyFont="1" applyFill="1" applyBorder="1"/>
    <xf numFmtId="164" fontId="20" fillId="9" borderId="1" xfId="0" applyNumberFormat="1" applyFont="1" applyFill="1" applyBorder="1"/>
    <xf numFmtId="0" fontId="20" fillId="10" borderId="1" xfId="0" applyFont="1" applyFill="1" applyBorder="1"/>
    <xf numFmtId="164" fontId="39" fillId="10" borderId="1" xfId="0" applyNumberFormat="1" applyFont="1" applyFill="1" applyBorder="1"/>
    <xf numFmtId="164" fontId="49" fillId="10" borderId="3" xfId="0" applyNumberFormat="1" applyFont="1" applyFill="1" applyBorder="1"/>
    <xf numFmtId="9" fontId="39" fillId="10" borderId="14" xfId="4" applyFont="1" applyFill="1" applyBorder="1"/>
    <xf numFmtId="164" fontId="20" fillId="10" borderId="3" xfId="0" applyNumberFormat="1" applyFont="1" applyFill="1" applyBorder="1"/>
    <xf numFmtId="164" fontId="39" fillId="11" borderId="2" xfId="0" applyNumberFormat="1" applyFont="1" applyFill="1" applyBorder="1"/>
    <xf numFmtId="164" fontId="49" fillId="11" borderId="2" xfId="0" applyNumberFormat="1" applyFont="1" applyFill="1" applyBorder="1"/>
    <xf numFmtId="9" fontId="39" fillId="11" borderId="14" xfId="4" applyFont="1" applyFill="1" applyBorder="1"/>
    <xf numFmtId="164" fontId="20" fillId="11" borderId="2" xfId="0" applyNumberFormat="1" applyFont="1" applyFill="1" applyBorder="1"/>
    <xf numFmtId="44" fontId="20" fillId="11" borderId="2" xfId="2" applyFont="1" applyFill="1" applyBorder="1" applyAlignment="1"/>
    <xf numFmtId="0" fontId="6" fillId="12" borderId="2" xfId="0" applyFont="1" applyFill="1" applyBorder="1"/>
    <xf numFmtId="164" fontId="38" fillId="12" borderId="10" xfId="0" applyNumberFormat="1" applyFont="1" applyFill="1" applyBorder="1"/>
    <xf numFmtId="164" fontId="48" fillId="12" borderId="10" xfId="0" applyNumberFormat="1" applyFont="1" applyFill="1" applyBorder="1"/>
    <xf numFmtId="9" fontId="38" fillId="12" borderId="10" xfId="4" applyFont="1" applyFill="1" applyBorder="1"/>
    <xf numFmtId="164" fontId="20" fillId="12" borderId="10" xfId="0" applyNumberFormat="1" applyFont="1" applyFill="1" applyBorder="1"/>
    <xf numFmtId="0" fontId="6" fillId="11" borderId="1" xfId="0" applyFont="1" applyFill="1" applyBorder="1"/>
    <xf numFmtId="164" fontId="39" fillId="11" borderId="1" xfId="0" applyNumberFormat="1" applyFont="1" applyFill="1" applyBorder="1"/>
    <xf numFmtId="164" fontId="49" fillId="11" borderId="1" xfId="0" applyNumberFormat="1" applyFont="1" applyFill="1" applyBorder="1"/>
    <xf numFmtId="164" fontId="20" fillId="11" borderId="3" xfId="0" applyNumberFormat="1" applyFont="1" applyFill="1" applyBorder="1"/>
    <xf numFmtId="0" fontId="6" fillId="8" borderId="1" xfId="0" applyFont="1" applyFill="1" applyBorder="1"/>
    <xf numFmtId="164" fontId="38" fillId="8" borderId="1" xfId="0" applyNumberFormat="1" applyFont="1" applyFill="1" applyBorder="1"/>
    <xf numFmtId="164" fontId="48" fillId="8" borderId="3" xfId="0" applyNumberFormat="1" applyFont="1" applyFill="1" applyBorder="1"/>
    <xf numFmtId="9" fontId="38" fillId="8" borderId="14" xfId="4" applyFont="1" applyFill="1" applyBorder="1"/>
    <xf numFmtId="164" fontId="20" fillId="8" borderId="3" xfId="0" applyNumberFormat="1" applyFont="1" applyFill="1" applyBorder="1"/>
    <xf numFmtId="44" fontId="42" fillId="2" borderId="7" xfId="0" applyNumberFormat="1" applyFont="1" applyFill="1" applyBorder="1"/>
    <xf numFmtId="0" fontId="58" fillId="0" borderId="0" xfId="0" applyFont="1"/>
    <xf numFmtId="164" fontId="6" fillId="6" borderId="3" xfId="0" applyNumberFormat="1" applyFont="1" applyFill="1" applyBorder="1"/>
    <xf numFmtId="0" fontId="3" fillId="6" borderId="3" xfId="0" applyFont="1" applyFill="1" applyBorder="1"/>
    <xf numFmtId="0" fontId="6" fillId="6" borderId="2" xfId="0" applyFont="1" applyFill="1" applyBorder="1" applyAlignment="1">
      <alignment wrapText="1"/>
    </xf>
    <xf numFmtId="0" fontId="18" fillId="0" borderId="3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20" fillId="8" borderId="3" xfId="0" applyFont="1" applyFill="1" applyBorder="1" applyAlignment="1">
      <alignment horizontal="left"/>
    </xf>
    <xf numFmtId="0" fontId="20" fillId="8" borderId="4" xfId="0" applyFont="1" applyFill="1" applyBorder="1" applyAlignment="1">
      <alignment horizontal="left"/>
    </xf>
    <xf numFmtId="0" fontId="4" fillId="0" borderId="0" xfId="1" applyAlignment="1" applyProtection="1">
      <alignment horizontal="center"/>
    </xf>
    <xf numFmtId="0" fontId="5" fillId="0" borderId="0" xfId="1" applyFont="1" applyAlignment="1" applyProtection="1">
      <alignment horizontal="center"/>
    </xf>
    <xf numFmtId="0" fontId="20" fillId="0" borderId="3" xfId="0" applyFont="1" applyBorder="1" applyAlignment="1">
      <alignment horizontal="left" indent="2"/>
    </xf>
    <xf numFmtId="0" fontId="20" fillId="0" borderId="4" xfId="0" applyFont="1" applyBorder="1" applyAlignment="1">
      <alignment horizontal="left" indent="2"/>
    </xf>
    <xf numFmtId="0" fontId="20" fillId="9" borderId="3" xfId="0" applyFont="1" applyFill="1" applyBorder="1" applyAlignment="1">
      <alignment horizontal="left"/>
    </xf>
    <xf numFmtId="0" fontId="20" fillId="9" borderId="4" xfId="0" applyFont="1" applyFill="1" applyBorder="1" applyAlignment="1">
      <alignment horizontal="left"/>
    </xf>
    <xf numFmtId="0" fontId="20" fillId="8" borderId="8" xfId="0" applyFont="1" applyFill="1" applyBorder="1" applyAlignment="1">
      <alignment horizontal="left"/>
    </xf>
    <xf numFmtId="0" fontId="20" fillId="9" borderId="8" xfId="0" applyFont="1" applyFill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20" fillId="10" borderId="3" xfId="0" applyFont="1" applyFill="1" applyBorder="1" applyAlignment="1">
      <alignment horizontal="left"/>
    </xf>
    <xf numFmtId="0" fontId="20" fillId="10" borderId="8" xfId="0" applyFont="1" applyFill="1" applyBorder="1" applyAlignment="1">
      <alignment horizontal="left"/>
    </xf>
    <xf numFmtId="0" fontId="20" fillId="10" borderId="4" xfId="0" applyFont="1" applyFill="1" applyBorder="1" applyAlignment="1">
      <alignment horizontal="left"/>
    </xf>
    <xf numFmtId="0" fontId="20" fillId="12" borderId="25" xfId="0" applyFont="1" applyFill="1" applyBorder="1" applyAlignment="1">
      <alignment horizontal="left"/>
    </xf>
    <xf numFmtId="0" fontId="20" fillId="12" borderId="26" xfId="0" applyFont="1" applyFill="1" applyBorder="1" applyAlignment="1">
      <alignment horizontal="left"/>
    </xf>
    <xf numFmtId="0" fontId="20" fillId="7" borderId="3" xfId="0" applyFont="1" applyFill="1" applyBorder="1" applyAlignment="1">
      <alignment horizontal="left"/>
    </xf>
    <xf numFmtId="0" fontId="20" fillId="7" borderId="4" xfId="0" applyFont="1" applyFill="1" applyBorder="1" applyAlignment="1">
      <alignment horizontal="left"/>
    </xf>
    <xf numFmtId="0" fontId="20" fillId="11" borderId="3" xfId="0" applyFont="1" applyFill="1" applyBorder="1" applyAlignment="1">
      <alignment horizontal="left"/>
    </xf>
    <xf numFmtId="0" fontId="20" fillId="11" borderId="27" xfId="0" applyFont="1" applyFill="1" applyBorder="1" applyAlignment="1">
      <alignment horizontal="left"/>
    </xf>
    <xf numFmtId="0" fontId="20" fillId="12" borderId="9" xfId="0" applyFont="1" applyFill="1" applyBorder="1" applyAlignment="1">
      <alignment horizontal="left"/>
    </xf>
    <xf numFmtId="0" fontId="20" fillId="12" borderId="28" xfId="0" applyFont="1" applyFill="1" applyBorder="1" applyAlignment="1">
      <alignment horizontal="left"/>
    </xf>
    <xf numFmtId="0" fontId="20" fillId="8" borderId="29" xfId="0" applyFont="1" applyFill="1" applyBorder="1" applyAlignment="1">
      <alignment horizontal="left"/>
    </xf>
    <xf numFmtId="0" fontId="20" fillId="8" borderId="30" xfId="0" applyFont="1" applyFill="1" applyBorder="1" applyAlignment="1">
      <alignment horizontal="left"/>
    </xf>
    <xf numFmtId="0" fontId="20" fillId="8" borderId="31" xfId="0" applyFont="1" applyFill="1" applyBorder="1" applyAlignment="1">
      <alignment horizontal="left"/>
    </xf>
    <xf numFmtId="0" fontId="20" fillId="11" borderId="4" xfId="0" applyFont="1" applyFill="1" applyBorder="1" applyAlignment="1">
      <alignment horizontal="left"/>
    </xf>
    <xf numFmtId="0" fontId="1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1" fillId="0" borderId="0" xfId="5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2" xfId="0" applyFont="1" applyBorder="1" applyAlignment="1">
      <alignment horizontal="right"/>
    </xf>
    <xf numFmtId="0" fontId="6" fillId="0" borderId="13" xfId="0" applyFont="1" applyBorder="1" applyAlignment="1">
      <alignment horizontal="right"/>
    </xf>
  </cellXfs>
  <cellStyles count="6">
    <cellStyle name="Comma" xfId="3" builtinId="3"/>
    <cellStyle name="Currency" xfId="2" builtinId="4"/>
    <cellStyle name="Hyperlink" xfId="1" builtinId="8"/>
    <cellStyle name="Normal" xfId="0" builtinId="0"/>
    <cellStyle name="Normal 2" xfId="5" xr:uid="{9B9F2663-2378-2347-9234-F48578A883E2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0</xdr:rowOff>
    </xdr:from>
    <xdr:to>
      <xdr:col>1</xdr:col>
      <xdr:colOff>658813</xdr:colOff>
      <xdr:row>0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7AF50D-4E9A-5E48-8691-4CE23A01A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0"/>
          <a:ext cx="2457450" cy="828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1352550</xdr:colOff>
      <xdr:row>0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FC89A8-0ECB-C166-A7E6-79E780014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24100" cy="828675"/>
        </a:xfrm>
        <a:prstGeom prst="rect">
          <a:avLst/>
        </a:prstGeom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irstchildrensfinance.or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CECA-859B-E048-B60C-BE3401AEAC92}">
  <sheetPr>
    <pageSetUpPr fitToPage="1"/>
  </sheetPr>
  <dimension ref="A1:J85"/>
  <sheetViews>
    <sheetView topLeftCell="A16" zoomScale="97" zoomScaleNormal="180" workbookViewId="0">
      <selection activeCell="B10" sqref="B10"/>
    </sheetView>
    <sheetView tabSelected="1" topLeftCell="A50" zoomScale="120" zoomScaleNormal="120" workbookViewId="1">
      <selection activeCell="I76" sqref="I76:I77"/>
    </sheetView>
  </sheetViews>
  <sheetFormatPr defaultColWidth="9.1328125" defaultRowHeight="20.25" x14ac:dyDescent="0.55000000000000004"/>
  <cols>
    <col min="1" max="1" width="27" style="1" bestFit="1" customWidth="1"/>
    <col min="2" max="2" width="50.59765625" style="1" bestFit="1" customWidth="1"/>
    <col min="3" max="3" width="1.86328125" style="1" customWidth="1"/>
    <col min="4" max="4" width="15" style="154" bestFit="1" customWidth="1"/>
    <col min="5" max="5" width="16.3984375" style="185" customWidth="1"/>
    <col min="6" max="6" width="16.73046875" style="204" customWidth="1"/>
    <col min="7" max="7" width="16" style="1" bestFit="1" customWidth="1"/>
    <col min="8" max="8" width="2.59765625" style="1" customWidth="1"/>
    <col min="9" max="9" width="98.73046875" style="274" customWidth="1"/>
    <col min="10" max="10" width="65.265625" style="125" hidden="1" customWidth="1"/>
    <col min="11" max="16384" width="9.1328125" style="1"/>
  </cols>
  <sheetData>
    <row r="1" spans="1:10" ht="80.25" customHeight="1" x14ac:dyDescent="0.55000000000000004">
      <c r="A1" s="3"/>
      <c r="D1" s="145"/>
      <c r="E1" s="177" t="s">
        <v>0</v>
      </c>
      <c r="F1" s="219">
        <v>46234</v>
      </c>
      <c r="G1" s="2"/>
    </row>
    <row r="2" spans="1:10" ht="20.65" x14ac:dyDescent="0.6">
      <c r="A2" s="45" t="s">
        <v>1</v>
      </c>
      <c r="B2" s="46"/>
      <c r="D2" s="146" t="s">
        <v>2</v>
      </c>
      <c r="E2" s="178" t="s">
        <v>3</v>
      </c>
      <c r="F2" s="198" t="s">
        <v>4</v>
      </c>
      <c r="G2" s="63" t="s">
        <v>5</v>
      </c>
      <c r="H2" s="87"/>
      <c r="I2" s="275" t="s">
        <v>6</v>
      </c>
      <c r="J2" s="126" t="s">
        <v>7</v>
      </c>
    </row>
    <row r="3" spans="1:10" s="32" customFormat="1" ht="24.75" customHeight="1" x14ac:dyDescent="0.6">
      <c r="A3" s="47"/>
      <c r="B3" s="48"/>
      <c r="D3" s="147"/>
      <c r="E3" s="179"/>
      <c r="F3" s="199"/>
      <c r="G3" s="88"/>
      <c r="H3" s="49"/>
      <c r="I3" s="276"/>
      <c r="J3" s="127"/>
    </row>
    <row r="4" spans="1:10" ht="20.65" x14ac:dyDescent="0.6">
      <c r="A4" s="323" t="s">
        <v>8</v>
      </c>
      <c r="B4" s="324"/>
      <c r="C4" s="324"/>
      <c r="D4" s="324"/>
      <c r="E4" s="324"/>
      <c r="F4" s="324"/>
      <c r="G4" s="325"/>
      <c r="H4" s="90"/>
      <c r="I4" s="277"/>
      <c r="J4" s="128"/>
    </row>
    <row r="5" spans="1:10" ht="20.65" customHeight="1" x14ac:dyDescent="0.55000000000000004">
      <c r="A5" s="348" t="s">
        <v>9</v>
      </c>
      <c r="B5" s="349"/>
      <c r="C5" s="349"/>
      <c r="D5" s="349"/>
      <c r="E5" s="349"/>
      <c r="F5" s="349"/>
      <c r="G5" s="349"/>
      <c r="H5" s="33"/>
      <c r="I5" s="277"/>
      <c r="J5" s="128"/>
    </row>
    <row r="6" spans="1:10" x14ac:dyDescent="0.55000000000000004">
      <c r="B6" s="110" t="s">
        <v>10</v>
      </c>
      <c r="C6" s="105"/>
      <c r="D6" s="148"/>
      <c r="E6" s="106"/>
      <c r="F6" s="148"/>
      <c r="G6" s="106">
        <v>18000</v>
      </c>
      <c r="H6" s="33"/>
      <c r="I6" s="277" t="s">
        <v>11</v>
      </c>
      <c r="J6" s="128"/>
    </row>
    <row r="7" spans="1:10" x14ac:dyDescent="0.55000000000000004">
      <c r="A7" s="108"/>
      <c r="B7" s="98" t="s">
        <v>12</v>
      </c>
      <c r="C7" s="102"/>
      <c r="D7" s="149"/>
      <c r="E7" s="102"/>
      <c r="F7" s="149"/>
      <c r="G7" s="102">
        <v>2500</v>
      </c>
      <c r="H7" s="33"/>
      <c r="I7" s="277"/>
      <c r="J7" s="128"/>
    </row>
    <row r="8" spans="1:10" x14ac:dyDescent="0.55000000000000004">
      <c r="A8" s="109"/>
      <c r="B8" s="73" t="s">
        <v>13</v>
      </c>
      <c r="C8" s="73"/>
      <c r="D8" s="149"/>
      <c r="E8" s="102"/>
      <c r="F8" s="149"/>
      <c r="G8" s="102">
        <v>30000</v>
      </c>
      <c r="H8" s="33"/>
      <c r="I8" s="277" t="s">
        <v>14</v>
      </c>
      <c r="J8" s="128"/>
    </row>
    <row r="9" spans="1:10" ht="31.15" x14ac:dyDescent="0.55000000000000004">
      <c r="A9" s="73"/>
      <c r="B9" s="73" t="s">
        <v>15</v>
      </c>
      <c r="C9" s="73"/>
      <c r="D9" s="149"/>
      <c r="E9" s="102"/>
      <c r="F9" s="149"/>
      <c r="G9" s="102">
        <v>62000</v>
      </c>
      <c r="H9" s="33"/>
      <c r="I9" s="277" t="s">
        <v>16</v>
      </c>
      <c r="J9" s="128"/>
    </row>
    <row r="10" spans="1:10" x14ac:dyDescent="0.55000000000000004">
      <c r="A10" s="73"/>
      <c r="B10" s="73" t="s">
        <v>17</v>
      </c>
      <c r="C10" s="73"/>
      <c r="D10" s="149"/>
      <c r="E10" s="102"/>
      <c r="F10" s="149"/>
      <c r="G10" s="102">
        <v>7500</v>
      </c>
      <c r="H10" s="33"/>
      <c r="I10" s="277" t="s">
        <v>18</v>
      </c>
      <c r="J10" s="128"/>
    </row>
    <row r="11" spans="1:10" ht="20.65" thickBot="1" x14ac:dyDescent="0.6">
      <c r="A11" s="342" t="s">
        <v>19</v>
      </c>
      <c r="B11" s="343"/>
      <c r="C11" s="304"/>
      <c r="D11" s="305">
        <v>300000</v>
      </c>
      <c r="E11" s="306"/>
      <c r="F11" s="307"/>
      <c r="G11" s="308">
        <f>SUM(G6:G10)</f>
        <v>120000</v>
      </c>
      <c r="H11" s="93"/>
      <c r="I11" s="277"/>
      <c r="J11" s="129" t="s">
        <v>20</v>
      </c>
    </row>
    <row r="12" spans="1:10" s="33" customFormat="1" ht="7.5" customHeight="1" thickBot="1" x14ac:dyDescent="0.6">
      <c r="A12" s="94"/>
      <c r="B12" s="95"/>
      <c r="C12" s="95"/>
      <c r="D12" s="150"/>
      <c r="E12" s="180"/>
      <c r="F12" s="200"/>
      <c r="G12" s="96"/>
      <c r="H12" s="97"/>
      <c r="I12" s="278"/>
      <c r="J12" s="130"/>
    </row>
    <row r="13" spans="1:10" x14ac:dyDescent="0.55000000000000004">
      <c r="A13" s="350" t="s">
        <v>21</v>
      </c>
      <c r="B13" s="351"/>
      <c r="C13" s="351"/>
      <c r="D13" s="351"/>
      <c r="E13" s="351"/>
      <c r="F13" s="351"/>
      <c r="G13" s="352"/>
      <c r="H13" s="107"/>
      <c r="I13" s="279"/>
      <c r="J13" s="131"/>
    </row>
    <row r="14" spans="1:10" x14ac:dyDescent="0.55000000000000004">
      <c r="A14" s="273"/>
      <c r="B14" s="98" t="s">
        <v>22</v>
      </c>
      <c r="C14" s="98"/>
      <c r="D14" s="151">
        <v>3000</v>
      </c>
      <c r="E14" s="181">
        <v>2183.9699999999998</v>
      </c>
      <c r="F14" s="201">
        <f>E14/D14</f>
        <v>0.72798999999999991</v>
      </c>
      <c r="G14" s="99">
        <v>3000</v>
      </c>
      <c r="H14" s="107"/>
      <c r="I14" s="279"/>
      <c r="J14" s="131"/>
    </row>
    <row r="15" spans="1:10" ht="31.15" x14ac:dyDescent="0.55000000000000004">
      <c r="A15" s="108"/>
      <c r="B15" s="105" t="s">
        <v>23</v>
      </c>
      <c r="C15" s="105"/>
      <c r="D15" s="149"/>
      <c r="E15" s="182">
        <v>27889</v>
      </c>
      <c r="F15" s="201"/>
      <c r="G15" s="103">
        <v>375000</v>
      </c>
      <c r="H15" s="107"/>
      <c r="I15" s="276" t="s">
        <v>24</v>
      </c>
      <c r="J15" s="133"/>
    </row>
    <row r="16" spans="1:10" x14ac:dyDescent="0.55000000000000004">
      <c r="A16" s="109"/>
      <c r="B16" s="110" t="s">
        <v>25</v>
      </c>
      <c r="C16" s="111"/>
      <c r="D16" s="149">
        <v>10000</v>
      </c>
      <c r="E16" s="182">
        <v>12500</v>
      </c>
      <c r="F16" s="201">
        <f t="shared" ref="F16:F19" si="0">E16/D16</f>
        <v>1.25</v>
      </c>
      <c r="G16" s="103">
        <v>10000</v>
      </c>
      <c r="H16" s="107"/>
      <c r="I16" s="276"/>
      <c r="J16" s="133" t="s">
        <v>26</v>
      </c>
    </row>
    <row r="17" spans="1:10" x14ac:dyDescent="0.55000000000000004">
      <c r="A17" s="73"/>
      <c r="B17" s="98" t="s">
        <v>27</v>
      </c>
      <c r="C17" s="73"/>
      <c r="D17" s="149">
        <v>210910</v>
      </c>
      <c r="E17" s="182">
        <v>200190</v>
      </c>
      <c r="F17" s="201">
        <f t="shared" si="0"/>
        <v>0.94917263287658238</v>
      </c>
      <c r="G17" s="103">
        <v>200000</v>
      </c>
      <c r="H17" s="107"/>
      <c r="I17" s="276"/>
      <c r="J17" s="133" t="s">
        <v>28</v>
      </c>
    </row>
    <row r="18" spans="1:10" x14ac:dyDescent="0.55000000000000004">
      <c r="A18" s="73"/>
      <c r="B18" s="73" t="s">
        <v>29</v>
      </c>
      <c r="C18" s="73"/>
      <c r="D18" s="149">
        <v>136000</v>
      </c>
      <c r="E18" s="182">
        <v>80300</v>
      </c>
      <c r="F18" s="201">
        <f t="shared" si="0"/>
        <v>0.59044117647058825</v>
      </c>
      <c r="G18" s="103">
        <v>50000</v>
      </c>
      <c r="H18" s="112"/>
      <c r="I18" s="276"/>
      <c r="J18" s="133" t="s">
        <v>30</v>
      </c>
    </row>
    <row r="19" spans="1:10" x14ac:dyDescent="0.55000000000000004">
      <c r="A19" s="73"/>
      <c r="B19" s="73" t="s">
        <v>31</v>
      </c>
      <c r="C19" s="73"/>
      <c r="D19" s="149">
        <v>5000</v>
      </c>
      <c r="E19" s="182"/>
      <c r="F19" s="201">
        <f t="shared" si="0"/>
        <v>0</v>
      </c>
      <c r="G19" s="103">
        <v>5000</v>
      </c>
      <c r="H19" s="112"/>
      <c r="I19" s="276"/>
      <c r="J19" s="133"/>
    </row>
    <row r="20" spans="1:10" x14ac:dyDescent="0.55000000000000004">
      <c r="A20" s="73"/>
      <c r="B20" s="73" t="s">
        <v>32</v>
      </c>
      <c r="C20" s="73"/>
      <c r="D20" s="149">
        <v>5000</v>
      </c>
      <c r="E20" s="182">
        <v>5540.64</v>
      </c>
      <c r="F20" s="201">
        <f>E20/D20</f>
        <v>1.108128</v>
      </c>
      <c r="G20" s="103">
        <v>15000</v>
      </c>
      <c r="H20" s="112"/>
      <c r="I20" s="276"/>
      <c r="J20" s="133"/>
    </row>
    <row r="21" spans="1:10" x14ac:dyDescent="0.55000000000000004">
      <c r="A21" s="326" t="s">
        <v>33</v>
      </c>
      <c r="B21" s="327"/>
      <c r="C21" s="313"/>
      <c r="D21" s="314">
        <f>SUM(D14:D20)</f>
        <v>369910</v>
      </c>
      <c r="E21" s="315"/>
      <c r="F21" s="316"/>
      <c r="G21" s="317">
        <f>SUM(G14:G20)</f>
        <v>658000</v>
      </c>
      <c r="H21" s="112"/>
      <c r="I21" s="276"/>
      <c r="J21" s="133"/>
    </row>
    <row r="22" spans="1:10" s="33" customFormat="1" ht="5.25" customHeight="1" x14ac:dyDescent="0.55000000000000004">
      <c r="A22" s="100"/>
      <c r="B22" s="100"/>
      <c r="C22" s="100"/>
      <c r="D22" s="149"/>
      <c r="E22" s="182"/>
      <c r="F22" s="201"/>
      <c r="G22" s="103"/>
      <c r="H22" s="104"/>
      <c r="I22" s="276"/>
      <c r="J22" s="132"/>
    </row>
    <row r="23" spans="1:10" ht="19.5" customHeight="1" x14ac:dyDescent="0.55000000000000004">
      <c r="A23" s="346" t="s">
        <v>34</v>
      </c>
      <c r="B23" s="353"/>
      <c r="C23" s="309"/>
      <c r="D23" s="310">
        <f>SUM(D14:D20)</f>
        <v>369910</v>
      </c>
      <c r="E23" s="311">
        <f>SUM(E14:E20)</f>
        <v>328603.61</v>
      </c>
      <c r="F23" s="301">
        <f>E23/D23</f>
        <v>0.88833394609499605</v>
      </c>
      <c r="G23" s="312">
        <f>SUM(G11,G14:G20)</f>
        <v>778000</v>
      </c>
      <c r="H23" s="112"/>
      <c r="I23" s="276"/>
      <c r="J23" s="133"/>
    </row>
    <row r="24" spans="1:10" s="33" customFormat="1" ht="6.75" customHeight="1" x14ac:dyDescent="0.55000000000000004">
      <c r="A24" s="100"/>
      <c r="B24" s="100"/>
      <c r="C24" s="100"/>
      <c r="D24" s="149"/>
      <c r="E24" s="182"/>
      <c r="F24" s="201"/>
      <c r="G24" s="103"/>
      <c r="H24" s="104"/>
      <c r="I24" s="276"/>
      <c r="J24" s="132"/>
    </row>
    <row r="25" spans="1:10" ht="20.65" x14ac:dyDescent="0.6">
      <c r="A25" s="323" t="s">
        <v>35</v>
      </c>
      <c r="B25" s="324"/>
      <c r="C25" s="324"/>
      <c r="D25" s="324"/>
      <c r="E25" s="324"/>
      <c r="F25" s="324"/>
      <c r="G25" s="325"/>
      <c r="H25" s="112"/>
      <c r="I25" s="276"/>
      <c r="J25" s="133"/>
    </row>
    <row r="26" spans="1:10" hidden="1" x14ac:dyDescent="0.55000000000000004">
      <c r="A26" s="336" t="s">
        <v>36</v>
      </c>
      <c r="B26" s="337"/>
      <c r="C26" s="337"/>
      <c r="D26" s="337"/>
      <c r="E26" s="337"/>
      <c r="F26" s="337"/>
      <c r="G26" s="338"/>
      <c r="H26" s="112"/>
      <c r="I26" s="276"/>
      <c r="J26" s="133"/>
    </row>
    <row r="27" spans="1:10" hidden="1" x14ac:dyDescent="0.55000000000000004">
      <c r="A27" s="73"/>
      <c r="B27" s="73" t="s">
        <v>37</v>
      </c>
      <c r="C27" s="73"/>
      <c r="D27" s="234">
        <f>'Payroll--Confidential'!C10</f>
        <v>177618</v>
      </c>
      <c r="E27" s="74">
        <v>113223</v>
      </c>
      <c r="F27" s="235">
        <f t="shared" ref="F27:F32" si="1">E27/D27</f>
        <v>0.63745228524136066</v>
      </c>
      <c r="G27" s="236">
        <f>Payroll!D9</f>
        <v>175700</v>
      </c>
      <c r="H27" s="112"/>
      <c r="I27" s="276"/>
      <c r="J27" s="133" t="s">
        <v>38</v>
      </c>
    </row>
    <row r="28" spans="1:10" hidden="1" x14ac:dyDescent="0.55000000000000004">
      <c r="A28" s="73"/>
      <c r="B28" s="73" t="s">
        <v>39</v>
      </c>
      <c r="C28" s="73"/>
      <c r="D28" s="234">
        <f>'Payroll--Confidential'!D10</f>
        <v>17881.8</v>
      </c>
      <c r="E28" s="74">
        <v>16855.88</v>
      </c>
      <c r="F28" s="235">
        <f t="shared" si="1"/>
        <v>0.94262769967229254</v>
      </c>
      <c r="G28" s="236">
        <f>Payroll!E9</f>
        <v>17570</v>
      </c>
      <c r="H28" s="112"/>
      <c r="I28" s="276"/>
      <c r="J28" s="133"/>
    </row>
    <row r="29" spans="1:10" hidden="1" x14ac:dyDescent="0.55000000000000004">
      <c r="A29" s="73"/>
      <c r="B29" s="73" t="s">
        <v>40</v>
      </c>
      <c r="C29" s="73"/>
      <c r="D29" s="234">
        <f>'Payroll--Confidential'!F10</f>
        <v>36000</v>
      </c>
      <c r="E29" s="74">
        <v>27706</v>
      </c>
      <c r="F29" s="235">
        <f t="shared" si="1"/>
        <v>0.76961111111111113</v>
      </c>
      <c r="G29" s="236">
        <f>Payroll!G9</f>
        <v>43200</v>
      </c>
      <c r="H29" s="112"/>
      <c r="I29" s="276"/>
      <c r="J29" s="133" t="s">
        <v>41</v>
      </c>
    </row>
    <row r="30" spans="1:10" hidden="1" x14ac:dyDescent="0.55000000000000004">
      <c r="A30" s="73"/>
      <c r="B30" s="73" t="s">
        <v>42</v>
      </c>
      <c r="C30" s="73"/>
      <c r="D30" s="234">
        <v>1550</v>
      </c>
      <c r="E30" s="74">
        <v>0</v>
      </c>
      <c r="F30" s="235">
        <f t="shared" si="1"/>
        <v>0</v>
      </c>
      <c r="G30" s="236"/>
      <c r="H30" s="112"/>
      <c r="I30" s="276"/>
      <c r="J30" s="133" t="s">
        <v>43</v>
      </c>
    </row>
    <row r="31" spans="1:10" hidden="1" x14ac:dyDescent="0.55000000000000004">
      <c r="A31" s="73"/>
      <c r="B31" s="73" t="s">
        <v>44</v>
      </c>
      <c r="C31" s="73"/>
      <c r="D31" s="234">
        <f>'Payroll--Confidential'!E10</f>
        <v>16981.8</v>
      </c>
      <c r="E31" s="74">
        <v>15426</v>
      </c>
      <c r="F31" s="235">
        <f t="shared" si="1"/>
        <v>0.90838427021870471</v>
      </c>
      <c r="G31" s="236">
        <f>Payroll!F9</f>
        <v>17570</v>
      </c>
      <c r="H31" s="112"/>
      <c r="I31" s="280"/>
      <c r="J31" s="134" t="s">
        <v>45</v>
      </c>
    </row>
    <row r="32" spans="1:10" hidden="1" x14ac:dyDescent="0.55000000000000004">
      <c r="A32" s="73"/>
      <c r="B32" s="73" t="s">
        <v>46</v>
      </c>
      <c r="C32" s="73"/>
      <c r="D32" s="234">
        <v>1200</v>
      </c>
      <c r="E32" s="74">
        <v>0</v>
      </c>
      <c r="F32" s="235">
        <f t="shared" si="1"/>
        <v>0</v>
      </c>
      <c r="G32" s="236"/>
      <c r="H32" s="112"/>
      <c r="I32" s="276" t="s">
        <v>47</v>
      </c>
      <c r="J32" s="133" t="s">
        <v>48</v>
      </c>
    </row>
    <row r="33" spans="1:10" s="33" customFormat="1" ht="6.75" customHeight="1" x14ac:dyDescent="0.55000000000000004">
      <c r="A33" s="100"/>
      <c r="B33" s="100"/>
      <c r="C33" s="100"/>
      <c r="D33" s="149"/>
      <c r="E33" s="182"/>
      <c r="F33" s="201"/>
      <c r="G33" s="103"/>
      <c r="H33" s="104"/>
      <c r="I33" s="276"/>
      <c r="J33" s="132"/>
    </row>
    <row r="34" spans="1:10" x14ac:dyDescent="0.55000000000000004">
      <c r="A34" s="339" t="s">
        <v>36</v>
      </c>
      <c r="B34" s="340"/>
      <c r="C34" s="340"/>
      <c r="D34" s="340"/>
      <c r="E34" s="340"/>
      <c r="F34" s="340"/>
      <c r="G34" s="341"/>
      <c r="H34" s="112"/>
      <c r="I34" s="276"/>
      <c r="J34" s="133"/>
    </row>
    <row r="35" spans="1:10" x14ac:dyDescent="0.55000000000000004">
      <c r="A35" s="52"/>
      <c r="B35" s="73" t="s">
        <v>37</v>
      </c>
      <c r="C35" s="52"/>
      <c r="D35" s="149">
        <v>177618</v>
      </c>
      <c r="E35" s="183">
        <v>119751.14</v>
      </c>
      <c r="F35" s="202"/>
      <c r="G35" s="103">
        <f>Payroll!D9+1200</f>
        <v>176900</v>
      </c>
      <c r="H35" s="112"/>
      <c r="I35" s="276"/>
      <c r="J35" s="133"/>
    </row>
    <row r="36" spans="1:10" x14ac:dyDescent="0.55000000000000004">
      <c r="A36" s="52"/>
      <c r="B36" s="73" t="s">
        <v>39</v>
      </c>
      <c r="C36" s="52"/>
      <c r="D36" s="149">
        <v>17881.8</v>
      </c>
      <c r="E36" s="183">
        <v>9504.2800000000007</v>
      </c>
      <c r="F36" s="202"/>
      <c r="G36" s="103">
        <f>Payroll!E9</f>
        <v>17570</v>
      </c>
      <c r="H36" s="112"/>
      <c r="I36" s="276"/>
      <c r="J36" s="133"/>
    </row>
    <row r="37" spans="1:10" x14ac:dyDescent="0.55000000000000004">
      <c r="A37" s="52"/>
      <c r="B37" s="73" t="s">
        <v>40</v>
      </c>
      <c r="C37" s="52"/>
      <c r="D37" s="149">
        <v>36000</v>
      </c>
      <c r="E37" s="183">
        <v>28141.279999999999</v>
      </c>
      <c r="F37" s="202"/>
      <c r="G37" s="103">
        <f>Payroll!G9</f>
        <v>43200</v>
      </c>
      <c r="H37" s="112"/>
      <c r="I37" s="276"/>
      <c r="J37" s="133"/>
    </row>
    <row r="38" spans="1:10" x14ac:dyDescent="0.55000000000000004">
      <c r="A38" s="52"/>
      <c r="B38" s="73" t="s">
        <v>42</v>
      </c>
      <c r="C38" s="52"/>
      <c r="D38" s="149">
        <v>1550</v>
      </c>
      <c r="E38" s="183">
        <v>266.41000000000003</v>
      </c>
      <c r="F38" s="202"/>
      <c r="G38" s="103">
        <v>1550</v>
      </c>
      <c r="H38" s="112"/>
      <c r="I38" s="276"/>
      <c r="J38" s="133"/>
    </row>
    <row r="39" spans="1:10" x14ac:dyDescent="0.55000000000000004">
      <c r="A39" s="52"/>
      <c r="B39" s="73" t="s">
        <v>44</v>
      </c>
      <c r="C39" s="52"/>
      <c r="D39" s="149">
        <v>16981.8</v>
      </c>
      <c r="E39" s="183">
        <v>11423.92</v>
      </c>
      <c r="F39" s="202"/>
      <c r="G39" s="103">
        <f>Payroll!F9</f>
        <v>17570</v>
      </c>
      <c r="H39" s="112"/>
      <c r="I39" s="276"/>
      <c r="J39" s="133"/>
    </row>
    <row r="40" spans="1:10" x14ac:dyDescent="0.55000000000000004">
      <c r="A40" s="339" t="s">
        <v>49</v>
      </c>
      <c r="B40" s="341"/>
      <c r="C40" s="294"/>
      <c r="D40" s="295">
        <f>SUM(D35:D39)</f>
        <v>250031.59999999998</v>
      </c>
      <c r="E40" s="296"/>
      <c r="F40" s="297"/>
      <c r="G40" s="298">
        <f>SUM(G35:G39)</f>
        <v>256790</v>
      </c>
      <c r="H40" s="112"/>
      <c r="I40" s="276"/>
      <c r="J40" s="133"/>
    </row>
    <row r="41" spans="1:10" s="33" customFormat="1" ht="8.25" customHeight="1" x14ac:dyDescent="0.55000000000000004">
      <c r="A41" s="100"/>
      <c r="B41" s="100"/>
      <c r="C41" s="100"/>
      <c r="D41" s="149"/>
      <c r="E41" s="182"/>
      <c r="F41" s="201"/>
      <c r="G41" s="103"/>
      <c r="H41" s="104"/>
      <c r="I41" s="276"/>
      <c r="J41" s="132"/>
    </row>
    <row r="42" spans="1:10" x14ac:dyDescent="0.55000000000000004">
      <c r="A42" s="332" t="s">
        <v>50</v>
      </c>
      <c r="B42" s="335"/>
      <c r="C42" s="335"/>
      <c r="D42" s="335"/>
      <c r="E42" s="335"/>
      <c r="F42" s="335"/>
      <c r="G42" s="333"/>
      <c r="H42" s="112"/>
      <c r="I42" s="276"/>
      <c r="J42" s="133"/>
    </row>
    <row r="43" spans="1:10" x14ac:dyDescent="0.55000000000000004">
      <c r="A43" s="73"/>
      <c r="B43" s="73" t="s">
        <v>51</v>
      </c>
      <c r="C43" s="73"/>
      <c r="D43" s="149">
        <v>20000</v>
      </c>
      <c r="E43" s="182">
        <v>6445.98</v>
      </c>
      <c r="F43" s="201">
        <f>E43/D43</f>
        <v>0.322299</v>
      </c>
      <c r="G43" s="103">
        <v>15000</v>
      </c>
      <c r="H43" s="112"/>
      <c r="I43" s="276"/>
      <c r="J43" s="133" t="s">
        <v>52</v>
      </c>
    </row>
    <row r="44" spans="1:10" x14ac:dyDescent="0.55000000000000004">
      <c r="A44" s="73"/>
      <c r="B44" s="73" t="s">
        <v>53</v>
      </c>
      <c r="C44" s="73"/>
      <c r="D44" s="149">
        <v>10000</v>
      </c>
      <c r="E44" s="182">
        <v>6445.98</v>
      </c>
      <c r="F44" s="201">
        <f>E44/D44</f>
        <v>0.644598</v>
      </c>
      <c r="G44" s="103">
        <v>5000</v>
      </c>
      <c r="H44" s="112"/>
      <c r="I44" s="276"/>
      <c r="J44" s="133" t="s">
        <v>54</v>
      </c>
    </row>
    <row r="45" spans="1:10" x14ac:dyDescent="0.55000000000000004">
      <c r="A45" s="73"/>
      <c r="B45" s="73" t="s">
        <v>55</v>
      </c>
      <c r="C45" s="73"/>
      <c r="D45" s="149">
        <v>28800</v>
      </c>
      <c r="E45" s="182">
        <v>21952.85</v>
      </c>
      <c r="F45" s="201">
        <f>E45/D45</f>
        <v>0.76225173611111108</v>
      </c>
      <c r="G45" s="103">
        <f>2400*12</f>
        <v>28800</v>
      </c>
      <c r="H45" s="112"/>
      <c r="I45" s="276" t="s">
        <v>56</v>
      </c>
      <c r="J45" s="133" t="s">
        <v>57</v>
      </c>
    </row>
    <row r="46" spans="1:10" x14ac:dyDescent="0.55000000000000004">
      <c r="A46" s="73"/>
      <c r="B46" s="73" t="s">
        <v>58</v>
      </c>
      <c r="C46" s="73"/>
      <c r="D46" s="149">
        <v>13000</v>
      </c>
      <c r="E46" s="182">
        <v>13000</v>
      </c>
      <c r="F46" s="201">
        <f>E46/D46</f>
        <v>1</v>
      </c>
      <c r="G46" s="320">
        <v>15000</v>
      </c>
      <c r="H46" s="321"/>
      <c r="I46" s="322" t="s">
        <v>59</v>
      </c>
      <c r="J46" s="133" t="s">
        <v>60</v>
      </c>
    </row>
    <row r="47" spans="1:10" x14ac:dyDescent="0.55000000000000004">
      <c r="A47" s="73"/>
      <c r="B47" s="73" t="s">
        <v>61</v>
      </c>
      <c r="C47" s="73"/>
      <c r="D47" s="149">
        <v>0</v>
      </c>
      <c r="E47" s="182">
        <v>0</v>
      </c>
      <c r="F47" s="201">
        <v>0</v>
      </c>
      <c r="G47" s="103">
        <v>50000</v>
      </c>
      <c r="H47" s="112"/>
      <c r="I47" s="276"/>
      <c r="J47" s="133"/>
    </row>
    <row r="48" spans="1:10" x14ac:dyDescent="0.55000000000000004">
      <c r="A48" s="73"/>
      <c r="B48" s="73" t="s">
        <v>62</v>
      </c>
      <c r="C48" s="73"/>
      <c r="D48" s="149">
        <v>12000</v>
      </c>
      <c r="E48" s="182">
        <v>11656.3</v>
      </c>
      <c r="F48" s="201">
        <f>E48/D48</f>
        <v>0.97135833333333332</v>
      </c>
      <c r="G48" s="103">
        <f>(1200*12)*1.1</f>
        <v>15840.000000000002</v>
      </c>
      <c r="H48" s="112"/>
      <c r="I48" s="276"/>
      <c r="J48" s="133" t="s">
        <v>63</v>
      </c>
    </row>
    <row r="49" spans="1:10" x14ac:dyDescent="0.55000000000000004">
      <c r="A49" s="73"/>
      <c r="B49" s="73" t="s">
        <v>64</v>
      </c>
      <c r="C49" s="73"/>
      <c r="D49" s="149">
        <v>2000</v>
      </c>
      <c r="E49" s="182">
        <v>1482.83</v>
      </c>
      <c r="F49" s="201">
        <f t="shared" ref="F49:F82" si="2">E49/D49</f>
        <v>0.74141499999999994</v>
      </c>
      <c r="G49" s="103">
        <v>2500</v>
      </c>
      <c r="H49" s="112"/>
      <c r="I49" s="276"/>
      <c r="J49" s="133"/>
    </row>
    <row r="50" spans="1:10" x14ac:dyDescent="0.55000000000000004">
      <c r="A50" s="73"/>
      <c r="B50" s="73" t="s">
        <v>65</v>
      </c>
      <c r="C50" s="73"/>
      <c r="D50" s="149">
        <v>1500</v>
      </c>
      <c r="E50" s="182">
        <v>2478.64</v>
      </c>
      <c r="F50" s="201">
        <f t="shared" si="2"/>
        <v>1.6524266666666665</v>
      </c>
      <c r="G50" s="103">
        <v>2500</v>
      </c>
      <c r="H50" s="112"/>
      <c r="I50" s="276" t="s">
        <v>66</v>
      </c>
      <c r="J50" s="133" t="s">
        <v>67</v>
      </c>
    </row>
    <row r="51" spans="1:10" x14ac:dyDescent="0.55000000000000004">
      <c r="A51" s="73"/>
      <c r="B51" s="73" t="s">
        <v>68</v>
      </c>
      <c r="C51" s="73"/>
      <c r="D51" s="149">
        <v>500</v>
      </c>
      <c r="E51" s="182">
        <v>389.2</v>
      </c>
      <c r="F51" s="201">
        <f t="shared" si="2"/>
        <v>0.77839999999999998</v>
      </c>
      <c r="G51" s="103">
        <v>500</v>
      </c>
      <c r="H51" s="112"/>
      <c r="I51" s="276" t="s">
        <v>66</v>
      </c>
      <c r="J51" s="133" t="s">
        <v>67</v>
      </c>
    </row>
    <row r="52" spans="1:10" x14ac:dyDescent="0.55000000000000004">
      <c r="A52" s="73"/>
      <c r="B52" s="73" t="s">
        <v>69</v>
      </c>
      <c r="C52" s="73"/>
      <c r="D52" s="149">
        <v>1000</v>
      </c>
      <c r="E52" s="182">
        <v>776.68</v>
      </c>
      <c r="F52" s="201">
        <f t="shared" si="2"/>
        <v>0.77667999999999993</v>
      </c>
      <c r="G52" s="103">
        <v>1000</v>
      </c>
      <c r="H52" s="112"/>
      <c r="I52" s="276"/>
      <c r="J52" s="133"/>
    </row>
    <row r="53" spans="1:10" x14ac:dyDescent="0.55000000000000004">
      <c r="A53" s="73"/>
      <c r="B53" s="73" t="s">
        <v>70</v>
      </c>
      <c r="C53" s="73"/>
      <c r="D53" s="149">
        <v>11000</v>
      </c>
      <c r="E53" s="182">
        <v>7054.75</v>
      </c>
      <c r="F53" s="201">
        <f t="shared" si="2"/>
        <v>0.64134090909090913</v>
      </c>
      <c r="G53" s="103">
        <v>12000</v>
      </c>
      <c r="H53" s="112"/>
      <c r="I53" s="276"/>
      <c r="J53" s="133"/>
    </row>
    <row r="54" spans="1:10" x14ac:dyDescent="0.55000000000000004">
      <c r="A54" s="73"/>
      <c r="B54" s="73" t="s">
        <v>71</v>
      </c>
      <c r="C54" s="73"/>
      <c r="D54" s="149">
        <f>'Dues &amp; Subscriptions'!C17</f>
        <v>12781</v>
      </c>
      <c r="E54" s="182">
        <v>1485.57</v>
      </c>
      <c r="F54" s="201">
        <f t="shared" si="2"/>
        <v>0.11623268914795398</v>
      </c>
      <c r="G54" s="103">
        <f>'Dues &amp; Subscriptions'!D17</f>
        <v>9330</v>
      </c>
      <c r="H54" s="112"/>
      <c r="I54" s="276"/>
      <c r="J54" s="133" t="s">
        <v>28</v>
      </c>
    </row>
    <row r="55" spans="1:10" x14ac:dyDescent="0.55000000000000004">
      <c r="A55" s="73"/>
      <c r="B55" s="73" t="s">
        <v>72</v>
      </c>
      <c r="C55" s="73"/>
      <c r="D55" s="149">
        <v>18000</v>
      </c>
      <c r="E55" s="182">
        <f>18000+4441</f>
        <v>22441</v>
      </c>
      <c r="F55" s="201"/>
      <c r="G55" s="103">
        <f>350+18000</f>
        <v>18350</v>
      </c>
      <c r="H55" s="112"/>
      <c r="I55" s="276" t="s">
        <v>73</v>
      </c>
      <c r="J55" s="133" t="s">
        <v>74</v>
      </c>
    </row>
    <row r="56" spans="1:10" x14ac:dyDescent="0.55000000000000004">
      <c r="A56" s="73"/>
      <c r="B56" s="73" t="s">
        <v>75</v>
      </c>
      <c r="C56" s="73"/>
      <c r="D56" s="149">
        <v>21400</v>
      </c>
      <c r="E56" s="182">
        <v>16200</v>
      </c>
      <c r="F56" s="201">
        <f t="shared" si="2"/>
        <v>0.7570093457943925</v>
      </c>
      <c r="G56" s="103">
        <v>22000</v>
      </c>
      <c r="H56" s="112"/>
      <c r="I56" s="276" t="s">
        <v>76</v>
      </c>
      <c r="J56" s="133" t="s">
        <v>77</v>
      </c>
    </row>
    <row r="57" spans="1:10" ht="61.15" x14ac:dyDescent="0.55000000000000004">
      <c r="A57" s="73"/>
      <c r="B57" s="73" t="s">
        <v>78</v>
      </c>
      <c r="C57" s="73"/>
      <c r="D57" s="149">
        <v>1000</v>
      </c>
      <c r="E57" s="182">
        <v>0</v>
      </c>
      <c r="F57" s="201">
        <f t="shared" si="2"/>
        <v>0</v>
      </c>
      <c r="G57" s="103">
        <v>5000</v>
      </c>
      <c r="H57" s="112"/>
      <c r="I57" s="276" t="s">
        <v>79</v>
      </c>
      <c r="J57" s="133" t="s">
        <v>80</v>
      </c>
    </row>
    <row r="58" spans="1:10" s="33" customFormat="1" ht="6.75" customHeight="1" x14ac:dyDescent="0.55000000000000004">
      <c r="A58" s="100"/>
      <c r="B58" s="100"/>
      <c r="C58" s="100"/>
      <c r="D58" s="149"/>
      <c r="E58" s="182"/>
      <c r="F58" s="201"/>
      <c r="G58" s="103"/>
      <c r="H58" s="104"/>
      <c r="I58" s="276"/>
      <c r="J58" s="132"/>
    </row>
    <row r="59" spans="1:10" x14ac:dyDescent="0.55000000000000004">
      <c r="A59" s="332" t="s">
        <v>81</v>
      </c>
      <c r="B59" s="333"/>
      <c r="C59" s="290"/>
      <c r="D59" s="291">
        <f>SUM(D43:D57)</f>
        <v>152981</v>
      </c>
      <c r="E59" s="291">
        <f>SUM(E43:E57)</f>
        <v>111809.78</v>
      </c>
      <c r="F59" s="292">
        <f t="shared" si="2"/>
        <v>0.73087363790274607</v>
      </c>
      <c r="G59" s="293">
        <f>SUM(G43:G57)</f>
        <v>202820</v>
      </c>
      <c r="H59" s="112"/>
      <c r="I59" s="276"/>
      <c r="J59" s="133"/>
    </row>
    <row r="60" spans="1:10" s="33" customFormat="1" ht="8.25" customHeight="1" x14ac:dyDescent="0.55000000000000004">
      <c r="A60" s="100"/>
      <c r="B60" s="100"/>
      <c r="C60" s="100"/>
      <c r="D60" s="149"/>
      <c r="E60" s="182"/>
      <c r="F60" s="201"/>
      <c r="G60" s="103"/>
      <c r="H60" s="104"/>
      <c r="I60" s="276"/>
      <c r="J60" s="132"/>
    </row>
    <row r="61" spans="1:10" x14ac:dyDescent="0.55000000000000004">
      <c r="A61" s="326" t="s">
        <v>82</v>
      </c>
      <c r="B61" s="334"/>
      <c r="C61" s="334"/>
      <c r="D61" s="334"/>
      <c r="E61" s="334"/>
      <c r="F61" s="334"/>
      <c r="G61" s="327"/>
      <c r="H61" s="112"/>
      <c r="I61" s="276"/>
      <c r="J61" s="133"/>
    </row>
    <row r="62" spans="1:10" s="33" customFormat="1" ht="8.25" customHeight="1" x14ac:dyDescent="0.55000000000000004">
      <c r="A62" s="100"/>
      <c r="B62" s="100"/>
      <c r="C62" s="100"/>
      <c r="D62" s="149"/>
      <c r="E62" s="182"/>
      <c r="F62" s="201"/>
      <c r="G62" s="103"/>
      <c r="H62" s="104"/>
      <c r="I62" s="276"/>
      <c r="J62" s="132"/>
    </row>
    <row r="63" spans="1:10" ht="31.15" x14ac:dyDescent="0.55000000000000004">
      <c r="A63" s="330" t="s">
        <v>83</v>
      </c>
      <c r="B63" s="331"/>
      <c r="C63" s="73"/>
      <c r="D63" s="152">
        <v>30000</v>
      </c>
      <c r="E63" s="152">
        <f>SUM(E64:E66)</f>
        <v>15500</v>
      </c>
      <c r="F63" s="202">
        <f>E63/D63</f>
        <v>0.51666666666666672</v>
      </c>
      <c r="G63" s="64">
        <f>SUM(G64:G66)</f>
        <v>47500</v>
      </c>
      <c r="H63" s="112"/>
      <c r="I63" s="276" t="s">
        <v>84</v>
      </c>
      <c r="J63" s="133"/>
    </row>
    <row r="64" spans="1:10" ht="31.15" x14ac:dyDescent="0.55000000000000004">
      <c r="A64" s="73"/>
      <c r="B64" s="254" t="s">
        <v>85</v>
      </c>
      <c r="C64" s="255"/>
      <c r="D64" s="234"/>
      <c r="E64" s="74">
        <v>15500</v>
      </c>
      <c r="F64" s="235"/>
      <c r="G64" s="236">
        <v>27500</v>
      </c>
      <c r="H64" s="112"/>
      <c r="I64" s="276" t="s">
        <v>86</v>
      </c>
      <c r="J64" s="133" t="s">
        <v>87</v>
      </c>
    </row>
    <row r="65" spans="1:10" x14ac:dyDescent="0.55000000000000004">
      <c r="A65" s="73"/>
      <c r="B65" s="254" t="s">
        <v>88</v>
      </c>
      <c r="C65" s="255"/>
      <c r="D65" s="234"/>
      <c r="E65" s="74"/>
      <c r="F65" s="235"/>
      <c r="G65" s="236">
        <v>15000</v>
      </c>
      <c r="H65" s="112"/>
      <c r="I65" s="276"/>
      <c r="J65" s="133"/>
    </row>
    <row r="66" spans="1:10" x14ac:dyDescent="0.55000000000000004">
      <c r="A66" s="73"/>
      <c r="B66" s="254" t="s">
        <v>89</v>
      </c>
      <c r="C66" s="255"/>
      <c r="D66" s="234"/>
      <c r="E66" s="74"/>
      <c r="F66" s="235"/>
      <c r="G66" s="236">
        <v>5000</v>
      </c>
      <c r="H66" s="112"/>
      <c r="I66" s="276"/>
      <c r="J66" s="133"/>
    </row>
    <row r="67" spans="1:10" x14ac:dyDescent="0.55000000000000004">
      <c r="A67" s="330" t="s">
        <v>90</v>
      </c>
      <c r="B67" s="331"/>
      <c r="C67" s="73"/>
      <c r="D67" s="152">
        <f>SUM(D68:D70)</f>
        <v>5000</v>
      </c>
      <c r="E67" s="152">
        <f>SUM(E68:E70)</f>
        <v>18</v>
      </c>
      <c r="F67" s="202">
        <f>E67/D67</f>
        <v>3.5999999999999999E-3</v>
      </c>
      <c r="G67" s="64">
        <f>SUM(G68:G70)</f>
        <v>20000</v>
      </c>
      <c r="H67" s="112"/>
      <c r="I67" s="276"/>
      <c r="J67" s="133" t="s">
        <v>91</v>
      </c>
    </row>
    <row r="68" spans="1:10" x14ac:dyDescent="0.55000000000000004">
      <c r="A68" s="73"/>
      <c r="B68" s="256" t="s">
        <v>92</v>
      </c>
      <c r="C68" s="255"/>
      <c r="D68" s="234">
        <v>5000</v>
      </c>
      <c r="E68" s="74">
        <v>18</v>
      </c>
      <c r="F68" s="235">
        <f>E68/D68</f>
        <v>3.5999999999999999E-3</v>
      </c>
      <c r="G68" s="236">
        <v>1000</v>
      </c>
      <c r="H68" s="112"/>
      <c r="I68" s="276"/>
      <c r="J68" s="133" t="s">
        <v>93</v>
      </c>
    </row>
    <row r="69" spans="1:10" x14ac:dyDescent="0.55000000000000004">
      <c r="A69" s="73"/>
      <c r="B69" s="256" t="s">
        <v>94</v>
      </c>
      <c r="C69" s="255"/>
      <c r="D69" s="234"/>
      <c r="E69" s="74"/>
      <c r="F69" s="235"/>
      <c r="G69" s="236">
        <v>14000</v>
      </c>
      <c r="H69" s="112"/>
      <c r="I69" s="276"/>
      <c r="J69" s="133"/>
    </row>
    <row r="70" spans="1:10" x14ac:dyDescent="0.55000000000000004">
      <c r="A70" s="73"/>
      <c r="B70" s="256" t="s">
        <v>95</v>
      </c>
      <c r="C70" s="255"/>
      <c r="D70" s="234"/>
      <c r="E70" s="74"/>
      <c r="F70" s="235"/>
      <c r="G70" s="236">
        <v>5000</v>
      </c>
      <c r="H70" s="112"/>
      <c r="I70" s="276"/>
      <c r="J70" s="133"/>
    </row>
    <row r="71" spans="1:10" ht="20.25" customHeight="1" x14ac:dyDescent="0.55000000000000004">
      <c r="A71" s="330" t="s">
        <v>96</v>
      </c>
      <c r="B71" s="331"/>
      <c r="C71" s="73"/>
      <c r="D71" s="152">
        <f>SUM(D72:D73)</f>
        <v>25910</v>
      </c>
      <c r="E71" s="152">
        <f>SUM(E72:E73)</f>
        <v>6784</v>
      </c>
      <c r="F71" s="202">
        <f>E71/D71</f>
        <v>0.2618294094944037</v>
      </c>
      <c r="G71" s="64">
        <f>SUM(G72:G73)</f>
        <v>25000</v>
      </c>
      <c r="H71" s="112"/>
      <c r="I71" s="276"/>
      <c r="J71" s="133"/>
    </row>
    <row r="72" spans="1:10" x14ac:dyDescent="0.55000000000000004">
      <c r="A72" s="73"/>
      <c r="B72" s="254" t="s">
        <v>97</v>
      </c>
      <c r="C72" s="255"/>
      <c r="D72" s="234">
        <v>25910</v>
      </c>
      <c r="E72" s="74">
        <f>4550+2234</f>
        <v>6784</v>
      </c>
      <c r="F72" s="235">
        <f>E72/D72</f>
        <v>0.2618294094944037</v>
      </c>
      <c r="G72" s="236">
        <v>20000</v>
      </c>
      <c r="H72" s="112"/>
      <c r="I72" s="276"/>
      <c r="J72" s="133" t="s">
        <v>98</v>
      </c>
    </row>
    <row r="73" spans="1:10" x14ac:dyDescent="0.55000000000000004">
      <c r="A73" s="73"/>
      <c r="B73" s="254" t="s">
        <v>99</v>
      </c>
      <c r="C73" s="255"/>
      <c r="D73" s="234"/>
      <c r="E73" s="74"/>
      <c r="F73" s="235"/>
      <c r="G73" s="236">
        <v>5000</v>
      </c>
      <c r="H73" s="112"/>
      <c r="I73" s="276"/>
      <c r="J73" s="133"/>
    </row>
    <row r="74" spans="1:10" x14ac:dyDescent="0.55000000000000004">
      <c r="A74" s="330" t="s">
        <v>100</v>
      </c>
      <c r="B74" s="331"/>
      <c r="C74" s="73"/>
      <c r="D74" s="152">
        <f>SUM(D75:D77)</f>
        <v>17500</v>
      </c>
      <c r="E74" s="152">
        <f t="shared" ref="E74" si="3">SUM(E75:E77)</f>
        <v>16936</v>
      </c>
      <c r="F74" s="201">
        <f>E74/D74</f>
        <v>0.96777142857142862</v>
      </c>
      <c r="G74" s="64">
        <f>SUM(G75:G77)</f>
        <v>40000</v>
      </c>
      <c r="H74" s="112"/>
      <c r="I74" s="276"/>
      <c r="J74" s="133"/>
    </row>
    <row r="75" spans="1:10" x14ac:dyDescent="0.55000000000000004">
      <c r="A75" s="73"/>
      <c r="B75" s="254" t="s">
        <v>101</v>
      </c>
      <c r="C75" s="255"/>
      <c r="D75" s="234">
        <v>17500</v>
      </c>
      <c r="E75" s="74">
        <f>7000+9936</f>
        <v>16936</v>
      </c>
      <c r="F75" s="235">
        <f>E75/D75</f>
        <v>0.96777142857142862</v>
      </c>
      <c r="G75" s="236"/>
      <c r="H75" s="112"/>
      <c r="I75" s="276"/>
      <c r="J75" s="133" t="s">
        <v>102</v>
      </c>
    </row>
    <row r="76" spans="1:10" x14ac:dyDescent="0.55000000000000004">
      <c r="A76" s="73"/>
      <c r="B76" s="254" t="s">
        <v>103</v>
      </c>
      <c r="C76" s="255"/>
      <c r="D76" s="234"/>
      <c r="E76" s="74"/>
      <c r="F76" s="235"/>
      <c r="G76" s="236">
        <v>20000</v>
      </c>
      <c r="H76" s="112"/>
      <c r="I76" s="322" t="s">
        <v>104</v>
      </c>
      <c r="J76" s="133"/>
    </row>
    <row r="77" spans="1:10" ht="31.15" x14ac:dyDescent="0.55000000000000004">
      <c r="A77" s="73"/>
      <c r="B77" s="254" t="s">
        <v>105</v>
      </c>
      <c r="C77" s="255"/>
      <c r="D77" s="234"/>
      <c r="E77" s="74"/>
      <c r="F77" s="235"/>
      <c r="G77" s="236">
        <v>20000</v>
      </c>
      <c r="H77" s="112"/>
      <c r="I77" s="322" t="s">
        <v>106</v>
      </c>
      <c r="J77" s="133"/>
    </row>
    <row r="78" spans="1:10" x14ac:dyDescent="0.55000000000000004">
      <c r="A78" s="330" t="s">
        <v>107</v>
      </c>
      <c r="B78" s="331"/>
      <c r="C78" s="73"/>
      <c r="D78" s="152"/>
      <c r="E78" s="183"/>
      <c r="F78" s="202"/>
      <c r="G78" s="64">
        <v>5000</v>
      </c>
      <c r="H78" s="112"/>
      <c r="I78" s="276" t="s">
        <v>108</v>
      </c>
      <c r="J78" s="133"/>
    </row>
    <row r="79" spans="1:10" s="33" customFormat="1" ht="6.75" customHeight="1" x14ac:dyDescent="0.55000000000000004">
      <c r="A79" s="100"/>
      <c r="B79" s="100"/>
      <c r="C79" s="100"/>
      <c r="D79" s="149"/>
      <c r="E79" s="182"/>
      <c r="F79" s="201"/>
      <c r="G79" s="103"/>
      <c r="H79" s="104"/>
      <c r="I79" s="276"/>
      <c r="J79" s="132"/>
    </row>
    <row r="80" spans="1:10" x14ac:dyDescent="0.55000000000000004">
      <c r="A80" s="326" t="s">
        <v>109</v>
      </c>
      <c r="B80" s="327"/>
      <c r="C80" s="286"/>
      <c r="D80" s="287">
        <f>D63+D67+D71+D74+D78</f>
        <v>78410</v>
      </c>
      <c r="E80" s="287">
        <f>E63+E67+E71+E74+E78</f>
        <v>39238</v>
      </c>
      <c r="F80" s="288">
        <f t="shared" si="2"/>
        <v>0.50042086468562685</v>
      </c>
      <c r="G80" s="289">
        <f>G63+G67+G71+G74+G78</f>
        <v>137500</v>
      </c>
      <c r="H80" s="112"/>
      <c r="I80" s="276"/>
      <c r="J80" s="133"/>
    </row>
    <row r="81" spans="1:10" s="73" customFormat="1" ht="11.85" customHeight="1" x14ac:dyDescent="0.4"/>
    <row r="82" spans="1:10" x14ac:dyDescent="0.55000000000000004">
      <c r="A82" s="344" t="s">
        <v>110</v>
      </c>
      <c r="B82" s="345"/>
      <c r="C82" s="281"/>
      <c r="D82" s="282">
        <f>SUM(D34+D80)</f>
        <v>78410</v>
      </c>
      <c r="E82" s="283">
        <f>SUM(E34+E80)</f>
        <v>39238</v>
      </c>
      <c r="F82" s="284">
        <f t="shared" si="2"/>
        <v>0.50042086468562685</v>
      </c>
      <c r="G82" s="285">
        <f>G80+G59+G34</f>
        <v>340320</v>
      </c>
      <c r="H82" s="112"/>
      <c r="I82" s="276" t="s">
        <v>111</v>
      </c>
      <c r="J82" s="133"/>
    </row>
    <row r="83" spans="1:10" s="33" customFormat="1" ht="6" customHeight="1" x14ac:dyDescent="0.55000000000000004">
      <c r="A83" s="100"/>
      <c r="B83" s="100"/>
      <c r="C83" s="100"/>
      <c r="D83" s="151"/>
      <c r="E83" s="181"/>
      <c r="F83" s="201"/>
      <c r="G83" s="269"/>
      <c r="H83" s="104"/>
      <c r="I83" s="276"/>
      <c r="J83" s="132"/>
    </row>
    <row r="84" spans="1:10" x14ac:dyDescent="0.55000000000000004">
      <c r="A84" s="346" t="s">
        <v>112</v>
      </c>
      <c r="B84" s="347"/>
      <c r="C84" s="299"/>
      <c r="D84" s="300">
        <f>SUM(D23-D82)</f>
        <v>291500</v>
      </c>
      <c r="E84" s="301"/>
      <c r="F84" s="302"/>
      <c r="G84" s="303">
        <f>G23-G82</f>
        <v>437680</v>
      </c>
      <c r="H84" s="112"/>
      <c r="I84" s="276"/>
      <c r="J84" s="133"/>
    </row>
    <row r="85" spans="1:10" ht="18" customHeight="1" x14ac:dyDescent="0.55000000000000004">
      <c r="A85" s="328" t="s">
        <v>113</v>
      </c>
      <c r="B85" s="329"/>
      <c r="C85" s="329"/>
      <c r="D85" s="329"/>
      <c r="E85" s="184"/>
      <c r="F85" s="203"/>
      <c r="G85" s="61"/>
    </row>
  </sheetData>
  <mergeCells count="22">
    <mergeCell ref="A82:B82"/>
    <mergeCell ref="A84:B84"/>
    <mergeCell ref="A5:G5"/>
    <mergeCell ref="A13:G13"/>
    <mergeCell ref="A21:B21"/>
    <mergeCell ref="A23:B23"/>
    <mergeCell ref="A4:G4"/>
    <mergeCell ref="A80:B80"/>
    <mergeCell ref="A85:D85"/>
    <mergeCell ref="A63:B63"/>
    <mergeCell ref="A67:B67"/>
    <mergeCell ref="A71:B71"/>
    <mergeCell ref="A74:B74"/>
    <mergeCell ref="A78:B78"/>
    <mergeCell ref="A25:G25"/>
    <mergeCell ref="A59:B59"/>
    <mergeCell ref="A61:G61"/>
    <mergeCell ref="A42:G42"/>
    <mergeCell ref="A26:G26"/>
    <mergeCell ref="A34:G34"/>
    <mergeCell ref="A40:B40"/>
    <mergeCell ref="A11:B11"/>
  </mergeCells>
  <hyperlinks>
    <hyperlink ref="A85" r:id="rId1" display="www.FirstChildrensFinance.org" xr:uid="{A8648350-7AD1-C04E-99C5-2918E2DB6FB3}"/>
  </hyperlinks>
  <printOptions horizontalCentered="1"/>
  <pageMargins left="0.5" right="0.5" top="0.81" bottom="0.74" header="0.25" footer="0.32"/>
  <pageSetup scale="40" orientation="portrait" r:id="rId2"/>
  <headerFooter alignWithMargins="0">
    <oddHeader xml:space="preserve">&amp;R
</oddHeader>
    <oddFooter>&amp;CPage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F0B21-1C3C-4104-B513-C8C478EE8DCE}">
  <dimension ref="A1:H36"/>
  <sheetViews>
    <sheetView tabSelected="1" workbookViewId="0">
      <selection activeCell="I46" sqref="I46"/>
    </sheetView>
    <sheetView topLeftCell="A3" zoomScale="180" zoomScaleNormal="180" workbookViewId="1">
      <selection activeCell="B13" sqref="B13"/>
    </sheetView>
  </sheetViews>
  <sheetFormatPr defaultRowHeight="12.75" x14ac:dyDescent="0.35"/>
  <cols>
    <col min="1" max="1" width="34.265625" bestFit="1" customWidth="1"/>
    <col min="2" max="2" width="23.1328125" style="5" bestFit="1" customWidth="1"/>
    <col min="3" max="3" width="13.1328125" bestFit="1" customWidth="1"/>
    <col min="4" max="4" width="11.73046875" bestFit="1" customWidth="1"/>
    <col min="5" max="6" width="11" bestFit="1" customWidth="1"/>
    <col min="7" max="7" width="10" bestFit="1" customWidth="1"/>
    <col min="8" max="8" width="12" bestFit="1" customWidth="1"/>
  </cols>
  <sheetData>
    <row r="1" spans="1:8" ht="13.15" x14ac:dyDescent="0.4">
      <c r="A1" s="354" t="s">
        <v>114</v>
      </c>
      <c r="B1" s="354"/>
    </row>
    <row r="2" spans="1:8" ht="13.15" x14ac:dyDescent="0.4">
      <c r="A2" s="239" t="s">
        <v>115</v>
      </c>
      <c r="B2" s="244" t="s">
        <v>116</v>
      </c>
      <c r="C2" s="239" t="s">
        <v>117</v>
      </c>
    </row>
    <row r="3" spans="1:8" x14ac:dyDescent="0.35">
      <c r="A3" s="62" t="s">
        <v>118</v>
      </c>
      <c r="B3" s="5">
        <f>Payroll!M9+'FY27 Budget DRAFT'!G59</f>
        <v>342230</v>
      </c>
      <c r="C3" s="259">
        <f>B3/$B$9</f>
        <v>0.57463563704748477</v>
      </c>
    </row>
    <row r="4" spans="1:8" x14ac:dyDescent="0.35">
      <c r="A4" t="s">
        <v>83</v>
      </c>
      <c r="B4" s="5">
        <f>Payroll!N9+'FY27 Budget DRAFT'!G63</f>
        <v>105415</v>
      </c>
      <c r="C4" s="259">
        <f t="shared" ref="C4:C8" si="0">B4/$B$9</f>
        <v>0.17700147760091342</v>
      </c>
    </row>
    <row r="5" spans="1:8" x14ac:dyDescent="0.35">
      <c r="A5" t="s">
        <v>90</v>
      </c>
      <c r="B5" s="5">
        <f>Payroll!O9+'FY27 Budget DRAFT'!G67</f>
        <v>77915</v>
      </c>
      <c r="C5" s="259">
        <f t="shared" si="0"/>
        <v>0.13082644905635032</v>
      </c>
    </row>
    <row r="6" spans="1:8" x14ac:dyDescent="0.35">
      <c r="A6" t="s">
        <v>96</v>
      </c>
      <c r="B6" s="5">
        <f>Payroll!P9+'FY27 Budget DRAFT'!G71</f>
        <v>25000</v>
      </c>
      <c r="C6" s="259">
        <f t="shared" si="0"/>
        <v>4.1977298676875545E-2</v>
      </c>
    </row>
    <row r="7" spans="1:8" x14ac:dyDescent="0.35">
      <c r="A7" t="s">
        <v>100</v>
      </c>
      <c r="B7" s="5">
        <f>Payroll!Q9+'FY27 Budget DRAFT'!G74</f>
        <v>40000</v>
      </c>
      <c r="C7" s="259">
        <f t="shared" si="0"/>
        <v>6.7163677883000872E-2</v>
      </c>
    </row>
    <row r="8" spans="1:8" x14ac:dyDescent="0.35">
      <c r="A8" t="s">
        <v>107</v>
      </c>
      <c r="B8" s="5">
        <f>Payroll!R9+'FY27 Budget DRAFT'!G78</f>
        <v>5000</v>
      </c>
      <c r="C8" s="259">
        <f t="shared" si="0"/>
        <v>8.395459735375109E-3</v>
      </c>
    </row>
    <row r="9" spans="1:8" ht="13.15" x14ac:dyDescent="0.4">
      <c r="A9" s="239" t="s">
        <v>119</v>
      </c>
      <c r="B9" s="244">
        <f>SUM(B3:B8)</f>
        <v>595560</v>
      </c>
    </row>
    <row r="12" spans="1:8" ht="13.15" x14ac:dyDescent="0.4">
      <c r="A12" s="239" t="s">
        <v>120</v>
      </c>
      <c r="B12" s="244" t="s">
        <v>121</v>
      </c>
      <c r="C12" s="239" t="s">
        <v>122</v>
      </c>
      <c r="D12" s="239" t="s">
        <v>123</v>
      </c>
      <c r="E12" s="239" t="s">
        <v>11</v>
      </c>
      <c r="F12" s="239" t="s">
        <v>124</v>
      </c>
      <c r="G12" s="239" t="s">
        <v>125</v>
      </c>
      <c r="H12" s="239" t="s">
        <v>119</v>
      </c>
    </row>
    <row r="13" spans="1:8" ht="13.15" x14ac:dyDescent="0.4">
      <c r="A13" s="248" t="s">
        <v>23</v>
      </c>
      <c r="B13" s="5">
        <f>370000</f>
        <v>370000</v>
      </c>
      <c r="C13" s="5"/>
      <c r="D13" s="5"/>
      <c r="E13" s="5"/>
      <c r="F13" s="5"/>
      <c r="G13" s="5">
        <v>5000</v>
      </c>
      <c r="H13" s="268">
        <f>SUM(B13:G13)</f>
        <v>375000</v>
      </c>
    </row>
    <row r="14" spans="1:8" ht="13.15" x14ac:dyDescent="0.4">
      <c r="A14" s="62" t="s">
        <v>25</v>
      </c>
      <c r="C14" s="5"/>
      <c r="D14" s="5"/>
      <c r="E14" s="5"/>
      <c r="F14" s="5">
        <v>10000</v>
      </c>
      <c r="G14" s="5"/>
      <c r="H14" s="268">
        <f t="shared" ref="H14:H36" si="1">SUM(B14:G14)</f>
        <v>10000</v>
      </c>
    </row>
    <row r="15" spans="1:8" ht="13.15" x14ac:dyDescent="0.4">
      <c r="A15" t="s">
        <v>126</v>
      </c>
      <c r="C15" s="5">
        <v>30000</v>
      </c>
      <c r="D15" s="5"/>
      <c r="E15" s="5"/>
      <c r="F15" s="5"/>
      <c r="G15" s="5"/>
      <c r="H15" s="268">
        <f t="shared" si="1"/>
        <v>30000</v>
      </c>
    </row>
    <row r="16" spans="1:8" ht="13.15" x14ac:dyDescent="0.4">
      <c r="A16" t="s">
        <v>127</v>
      </c>
      <c r="C16" s="5">
        <v>62000</v>
      </c>
      <c r="D16" s="5"/>
      <c r="E16" s="5"/>
      <c r="F16" s="5"/>
      <c r="G16" s="5"/>
      <c r="H16" s="268">
        <f t="shared" si="1"/>
        <v>62000</v>
      </c>
    </row>
    <row r="17" spans="1:8" ht="13.15" x14ac:dyDescent="0.4">
      <c r="A17" s="62" t="s">
        <v>128</v>
      </c>
      <c r="B17" s="5">
        <v>50000</v>
      </c>
      <c r="H17" s="268">
        <f t="shared" si="1"/>
        <v>50000</v>
      </c>
    </row>
    <row r="18" spans="1:8" ht="13.15" x14ac:dyDescent="0.4">
      <c r="A18" t="s">
        <v>10</v>
      </c>
      <c r="E18" s="5">
        <v>18000</v>
      </c>
      <c r="H18" s="268">
        <f t="shared" si="1"/>
        <v>18000</v>
      </c>
    </row>
    <row r="19" spans="1:8" ht="13.15" x14ac:dyDescent="0.4">
      <c r="A19" t="s">
        <v>129</v>
      </c>
      <c r="C19" s="5">
        <v>30000</v>
      </c>
      <c r="H19" s="268">
        <f t="shared" si="1"/>
        <v>30000</v>
      </c>
    </row>
    <row r="20" spans="1:8" ht="13.15" x14ac:dyDescent="0.4">
      <c r="A20" t="s">
        <v>130</v>
      </c>
      <c r="C20" s="5">
        <v>50000</v>
      </c>
      <c r="H20" s="268">
        <f t="shared" si="1"/>
        <v>50000</v>
      </c>
    </row>
    <row r="21" spans="1:8" ht="13.15" x14ac:dyDescent="0.4">
      <c r="A21" t="s">
        <v>131</v>
      </c>
      <c r="D21" s="266">
        <v>2500</v>
      </c>
      <c r="H21" s="268">
        <f t="shared" si="1"/>
        <v>2500</v>
      </c>
    </row>
    <row r="22" spans="1:8" ht="13.15" x14ac:dyDescent="0.4">
      <c r="A22" t="s">
        <v>132</v>
      </c>
      <c r="C22" s="5"/>
      <c r="D22" s="267">
        <v>2500</v>
      </c>
      <c r="E22" s="5"/>
      <c r="F22" s="5"/>
      <c r="G22" s="5"/>
      <c r="H22" s="268">
        <f t="shared" si="1"/>
        <v>2500</v>
      </c>
    </row>
    <row r="23" spans="1:8" ht="13.15" x14ac:dyDescent="0.4">
      <c r="A23" t="s">
        <v>133</v>
      </c>
      <c r="D23" s="266">
        <v>5000</v>
      </c>
      <c r="H23" s="268">
        <f t="shared" si="1"/>
        <v>5000</v>
      </c>
    </row>
    <row r="24" spans="1:8" ht="13.15" x14ac:dyDescent="0.4">
      <c r="A24" t="s">
        <v>134</v>
      </c>
      <c r="E24" s="266">
        <v>2500</v>
      </c>
      <c r="H24" s="268">
        <f t="shared" si="1"/>
        <v>2500</v>
      </c>
    </row>
    <row r="25" spans="1:8" ht="13.15" x14ac:dyDescent="0.4">
      <c r="A25" t="s">
        <v>135</v>
      </c>
      <c r="E25" s="266">
        <v>15000</v>
      </c>
      <c r="H25" s="268">
        <f t="shared" si="1"/>
        <v>15000</v>
      </c>
    </row>
    <row r="26" spans="1:8" ht="14.25" x14ac:dyDescent="0.45">
      <c r="A26" t="s">
        <v>136</v>
      </c>
      <c r="F26" s="270">
        <v>10000</v>
      </c>
      <c r="H26" s="268">
        <f t="shared" si="1"/>
        <v>10000</v>
      </c>
    </row>
    <row r="27" spans="1:8" ht="14.25" x14ac:dyDescent="0.45">
      <c r="A27" t="s">
        <v>137</v>
      </c>
      <c r="F27" s="270">
        <v>2500</v>
      </c>
      <c r="H27" s="268">
        <f t="shared" si="1"/>
        <v>2500</v>
      </c>
    </row>
    <row r="28" spans="1:8" ht="14.25" x14ac:dyDescent="0.45">
      <c r="A28" t="s">
        <v>138</v>
      </c>
      <c r="F28" s="270">
        <v>20000</v>
      </c>
      <c r="H28" s="268">
        <f t="shared" si="1"/>
        <v>20000</v>
      </c>
    </row>
    <row r="29" spans="1:8" ht="13.15" x14ac:dyDescent="0.4">
      <c r="A29" t="s">
        <v>139</v>
      </c>
      <c r="B29" s="5">
        <v>75000</v>
      </c>
      <c r="H29" s="268">
        <f t="shared" si="1"/>
        <v>75000</v>
      </c>
    </row>
    <row r="30" spans="1:8" ht="13.15" x14ac:dyDescent="0.4">
      <c r="A30" s="62" t="s">
        <v>140</v>
      </c>
      <c r="B30" s="5">
        <v>50000</v>
      </c>
      <c r="H30" s="268">
        <f t="shared" si="1"/>
        <v>50000</v>
      </c>
    </row>
    <row r="31" spans="1:8" ht="13.15" x14ac:dyDescent="0.4">
      <c r="A31" s="62" t="s">
        <v>22</v>
      </c>
      <c r="B31" s="5">
        <v>3000</v>
      </c>
      <c r="H31" s="268">
        <f t="shared" si="1"/>
        <v>3000</v>
      </c>
    </row>
    <row r="32" spans="1:8" ht="13.15" x14ac:dyDescent="0.4">
      <c r="A32" s="239" t="s">
        <v>119</v>
      </c>
      <c r="B32" s="244">
        <f>SUM(B13:B31)</f>
        <v>548000</v>
      </c>
      <c r="C32" s="244">
        <f t="shared" ref="C32:H32" si="2">SUM(C13:C31)</f>
        <v>172000</v>
      </c>
      <c r="D32" s="244">
        <f t="shared" si="2"/>
        <v>10000</v>
      </c>
      <c r="E32" s="244">
        <f t="shared" si="2"/>
        <v>35500</v>
      </c>
      <c r="F32" s="244">
        <f t="shared" si="2"/>
        <v>42500</v>
      </c>
      <c r="G32" s="244">
        <f t="shared" si="2"/>
        <v>5000</v>
      </c>
      <c r="H32" s="244">
        <f t="shared" si="2"/>
        <v>813000</v>
      </c>
    </row>
    <row r="33" spans="1:8" ht="13.15" x14ac:dyDescent="0.4">
      <c r="H33" s="268"/>
    </row>
    <row r="34" spans="1:8" ht="13.15" x14ac:dyDescent="0.4">
      <c r="A34" s="239" t="s">
        <v>141</v>
      </c>
      <c r="B34" s="244">
        <v>327563.33333333337</v>
      </c>
      <c r="C34" s="244">
        <v>105415</v>
      </c>
      <c r="D34" s="244">
        <v>77915</v>
      </c>
      <c r="E34" s="244">
        <v>25000</v>
      </c>
      <c r="F34" s="244">
        <v>40000</v>
      </c>
      <c r="G34" s="244">
        <v>5000</v>
      </c>
      <c r="H34" s="268">
        <f t="shared" si="1"/>
        <v>580893.33333333337</v>
      </c>
    </row>
    <row r="35" spans="1:8" ht="13.15" x14ac:dyDescent="0.4">
      <c r="H35" s="268"/>
    </row>
    <row r="36" spans="1:8" ht="13.15" x14ac:dyDescent="0.4">
      <c r="A36" s="239" t="s">
        <v>142</v>
      </c>
      <c r="B36" s="244">
        <f>B32-B34</f>
        <v>220436.66666666663</v>
      </c>
      <c r="C36" s="244">
        <f t="shared" ref="C36:G36" si="3">C32-C34</f>
        <v>66585</v>
      </c>
      <c r="D36" s="244">
        <f t="shared" si="3"/>
        <v>-67915</v>
      </c>
      <c r="E36" s="244">
        <f t="shared" si="3"/>
        <v>10500</v>
      </c>
      <c r="F36" s="244">
        <f t="shared" si="3"/>
        <v>2500</v>
      </c>
      <c r="G36" s="244">
        <f t="shared" si="3"/>
        <v>0</v>
      </c>
      <c r="H36" s="268">
        <f t="shared" si="1"/>
        <v>232106.66666666663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79CD5-6D35-9D4A-BBE1-AED9D93A01F0}">
  <dimension ref="A1:Z26"/>
  <sheetViews>
    <sheetView zoomScale="97" zoomScaleNormal="97" workbookViewId="0">
      <selection activeCell="V22" sqref="V22"/>
    </sheetView>
    <sheetView zoomScale="190" zoomScaleNormal="190" workbookViewId="1">
      <selection activeCell="E23" sqref="E23"/>
    </sheetView>
  </sheetViews>
  <sheetFormatPr defaultColWidth="11" defaultRowHeight="12.75" x14ac:dyDescent="0.35"/>
  <cols>
    <col min="1" max="1" width="22" bestFit="1" customWidth="1"/>
    <col min="2" max="2" width="43.3984375" bestFit="1" customWidth="1"/>
    <col min="3" max="3" width="12.1328125" bestFit="1" customWidth="1"/>
    <col min="4" max="4" width="12" style="165" bestFit="1" customWidth="1"/>
    <col min="5" max="5" width="11.1328125" style="62" bestFit="1" customWidth="1"/>
    <col min="6" max="6" width="11" style="165" bestFit="1" customWidth="1"/>
    <col min="7" max="7" width="13.1328125" bestFit="1" customWidth="1"/>
    <col min="8" max="8" width="13.1328125" customWidth="1"/>
    <col min="9" max="9" width="12" bestFit="1" customWidth="1"/>
    <col min="10" max="10" width="14.73046875" customWidth="1"/>
    <col min="11" max="11" width="10.265625" style="138" bestFit="1" customWidth="1"/>
    <col min="13" max="13" width="19.265625" bestFit="1" customWidth="1"/>
    <col min="14" max="14" width="16.1328125" bestFit="1" customWidth="1"/>
    <col min="15" max="15" width="20.265625" bestFit="1" customWidth="1"/>
    <col min="16" max="16" width="15.265625" bestFit="1" customWidth="1"/>
    <col min="17" max="17" width="17.3984375" bestFit="1" customWidth="1"/>
    <col min="18" max="18" width="24.1328125" bestFit="1" customWidth="1"/>
    <col min="19" max="19" width="24.1328125" customWidth="1"/>
    <col min="21" max="21" width="19.265625" bestFit="1" customWidth="1"/>
    <col min="22" max="22" width="16.1328125" bestFit="1" customWidth="1"/>
    <col min="23" max="23" width="20.265625" bestFit="1" customWidth="1"/>
    <col min="24" max="24" width="15.265625" bestFit="1" customWidth="1"/>
    <col min="25" max="25" width="17.3984375" bestFit="1" customWidth="1"/>
    <col min="26" max="26" width="24.1328125" bestFit="1" customWidth="1"/>
  </cols>
  <sheetData>
    <row r="1" spans="1:26" ht="14.25" x14ac:dyDescent="0.45">
      <c r="A1" s="66" t="s">
        <v>143</v>
      </c>
      <c r="B1" s="67"/>
      <c r="C1" s="67"/>
      <c r="D1" s="176"/>
      <c r="E1" s="67" t="s">
        <v>0</v>
      </c>
      <c r="F1" s="224">
        <v>46203</v>
      </c>
      <c r="G1" s="67"/>
      <c r="H1" s="67"/>
      <c r="I1" s="66"/>
      <c r="J1" s="67"/>
      <c r="K1" s="140"/>
    </row>
    <row r="2" spans="1:26" ht="14.25" x14ac:dyDescent="0.45">
      <c r="A2" s="66" t="s">
        <v>144</v>
      </c>
      <c r="B2" s="67"/>
      <c r="C2" s="67"/>
      <c r="D2" s="176"/>
      <c r="E2" s="67"/>
      <c r="F2" s="176" t="s">
        <v>4</v>
      </c>
      <c r="G2" s="67"/>
      <c r="H2" s="67"/>
      <c r="I2" s="66"/>
      <c r="J2" s="67" t="s">
        <v>6</v>
      </c>
      <c r="K2" s="140" t="s">
        <v>7</v>
      </c>
    </row>
    <row r="3" spans="1:26" ht="14.25" x14ac:dyDescent="0.45">
      <c r="A3" s="66" t="s">
        <v>145</v>
      </c>
      <c r="B3" s="67"/>
      <c r="C3" s="67"/>
      <c r="D3" s="176"/>
      <c r="E3" s="67"/>
      <c r="F3" s="176"/>
      <c r="G3" s="67"/>
      <c r="H3" s="67"/>
      <c r="I3" s="66"/>
      <c r="J3" s="67"/>
      <c r="K3" s="140"/>
    </row>
    <row r="4" spans="1:26" ht="14.25" x14ac:dyDescent="0.45">
      <c r="A4" s="66"/>
      <c r="B4" s="67"/>
      <c r="I4" s="66"/>
      <c r="J4" s="67"/>
      <c r="K4" s="140"/>
    </row>
    <row r="5" spans="1:26" ht="14.25" x14ac:dyDescent="0.45">
      <c r="A5" s="68" t="s">
        <v>146</v>
      </c>
      <c r="B5" s="67"/>
      <c r="C5" s="239"/>
      <c r="D5" s="217"/>
      <c r="E5" s="239" t="s">
        <v>37</v>
      </c>
      <c r="F5" s="239" t="s">
        <v>147</v>
      </c>
      <c r="G5" s="239" t="s">
        <v>148</v>
      </c>
      <c r="H5" s="239" t="s">
        <v>149</v>
      </c>
      <c r="I5" s="70"/>
      <c r="J5" s="69"/>
      <c r="K5" s="141"/>
      <c r="M5" s="354" t="s">
        <v>150</v>
      </c>
      <c r="N5" s="354"/>
      <c r="O5" s="354"/>
      <c r="P5" s="354"/>
      <c r="Q5" s="354"/>
      <c r="R5" s="354"/>
      <c r="S5" s="186"/>
      <c r="U5" s="354" t="s">
        <v>151</v>
      </c>
      <c r="V5" s="354"/>
      <c r="W5" s="354"/>
      <c r="X5" s="354"/>
      <c r="Y5" s="354"/>
      <c r="Z5" s="354"/>
    </row>
    <row r="6" spans="1:26" ht="14.25" x14ac:dyDescent="0.45">
      <c r="A6" s="67"/>
      <c r="B6" s="67"/>
      <c r="C6" s="217" t="s">
        <v>152</v>
      </c>
      <c r="D6" s="239" t="s">
        <v>145</v>
      </c>
      <c r="E6" s="239" t="s">
        <v>153</v>
      </c>
      <c r="F6" s="239" t="s">
        <v>154</v>
      </c>
      <c r="G6" s="239" t="s">
        <v>155</v>
      </c>
      <c r="H6" s="239" t="s">
        <v>156</v>
      </c>
      <c r="I6" s="72" t="s">
        <v>119</v>
      </c>
      <c r="J6" s="71" t="s">
        <v>157</v>
      </c>
      <c r="K6" s="142" t="s">
        <v>157</v>
      </c>
      <c r="M6" s="62" t="s">
        <v>158</v>
      </c>
      <c r="N6" t="s">
        <v>83</v>
      </c>
      <c r="O6" t="s">
        <v>90</v>
      </c>
      <c r="P6" t="s">
        <v>96</v>
      </c>
      <c r="Q6" t="s">
        <v>100</v>
      </c>
      <c r="R6" t="s">
        <v>107</v>
      </c>
      <c r="S6" s="62" t="s">
        <v>119</v>
      </c>
      <c r="U6" s="62" t="s">
        <v>158</v>
      </c>
      <c r="V6" t="s">
        <v>83</v>
      </c>
      <c r="W6" t="s">
        <v>90</v>
      </c>
      <c r="X6" t="s">
        <v>96</v>
      </c>
      <c r="Y6" t="s">
        <v>100</v>
      </c>
      <c r="Z6" t="s">
        <v>107</v>
      </c>
    </row>
    <row r="7" spans="1:26" ht="14.25" x14ac:dyDescent="0.45">
      <c r="A7" s="67" t="s">
        <v>159</v>
      </c>
      <c r="B7" s="67" t="s">
        <v>160</v>
      </c>
      <c r="C7" s="161">
        <v>90000</v>
      </c>
      <c r="D7" s="189">
        <v>107500</v>
      </c>
      <c r="E7" s="189">
        <f>D7*$B$12</f>
        <v>10750</v>
      </c>
      <c r="F7" s="189">
        <f>D7*$B$13</f>
        <v>10750</v>
      </c>
      <c r="G7" s="5">
        <f>$B$14*12</f>
        <v>21600</v>
      </c>
      <c r="H7" s="5">
        <f>B15*12</f>
        <v>600</v>
      </c>
      <c r="I7" s="82">
        <f>SUM(D7:H7)</f>
        <v>151200</v>
      </c>
      <c r="J7" s="67"/>
      <c r="K7" s="140"/>
      <c r="M7" s="5">
        <f t="shared" ref="M7:R7" si="0">$I7*U7</f>
        <v>113400</v>
      </c>
      <c r="N7" s="5">
        <f t="shared" si="0"/>
        <v>18900</v>
      </c>
      <c r="O7" s="5">
        <f t="shared" si="0"/>
        <v>18900</v>
      </c>
      <c r="P7" s="5">
        <f t="shared" si="0"/>
        <v>0</v>
      </c>
      <c r="Q7" s="5">
        <f t="shared" si="0"/>
        <v>0</v>
      </c>
      <c r="R7" s="5">
        <f t="shared" si="0"/>
        <v>0</v>
      </c>
      <c r="S7" s="5">
        <f>SUM(M7:R7)</f>
        <v>151200</v>
      </c>
      <c r="U7" s="83">
        <v>0.75</v>
      </c>
      <c r="V7" s="257">
        <v>0.125</v>
      </c>
      <c r="W7" s="257">
        <v>0.125</v>
      </c>
      <c r="X7" s="83">
        <v>0</v>
      </c>
      <c r="Y7" s="83">
        <v>0</v>
      </c>
      <c r="Z7" s="83">
        <v>0</v>
      </c>
    </row>
    <row r="8" spans="1:26" ht="14.65" thickBot="1" x14ac:dyDescent="0.5">
      <c r="A8" s="240" t="s">
        <v>161</v>
      </c>
      <c r="B8" s="240" t="s">
        <v>162</v>
      </c>
      <c r="C8" s="241">
        <v>62000</v>
      </c>
      <c r="D8" s="242">
        <f>C8*1.1</f>
        <v>68200</v>
      </c>
      <c r="E8" s="242">
        <f>D8*$B$12</f>
        <v>6820</v>
      </c>
      <c r="F8" s="242">
        <f>D8*$B$13</f>
        <v>6820</v>
      </c>
      <c r="G8" s="243">
        <f>$B$14*12</f>
        <v>21600</v>
      </c>
      <c r="H8" s="243">
        <f>B15*12</f>
        <v>600</v>
      </c>
      <c r="I8" s="82">
        <f>SUM(D8:H8)</f>
        <v>104040</v>
      </c>
      <c r="J8" s="67"/>
      <c r="K8" s="140"/>
      <c r="M8" s="245">
        <f>$I8*U8</f>
        <v>26010</v>
      </c>
      <c r="N8" s="245">
        <f>$I8*V8</f>
        <v>39015</v>
      </c>
      <c r="O8" s="245">
        <f>$I8*W8</f>
        <v>39015</v>
      </c>
      <c r="P8" s="245">
        <f>$I8*X8</f>
        <v>0</v>
      </c>
      <c r="Q8" s="245">
        <f>$I8*Y8</f>
        <v>0</v>
      </c>
      <c r="R8" s="245">
        <f t="shared" ref="R8" si="1">$I8*Z8</f>
        <v>0</v>
      </c>
      <c r="S8" s="245">
        <f t="shared" ref="S8:S9" si="2">SUM(M8:R8)</f>
        <v>104040</v>
      </c>
      <c r="U8" s="246">
        <v>0.25</v>
      </c>
      <c r="V8" s="258">
        <v>0.375</v>
      </c>
      <c r="W8" s="258">
        <v>0.375</v>
      </c>
      <c r="X8" s="247">
        <v>0</v>
      </c>
      <c r="Y8" s="247">
        <v>0</v>
      </c>
      <c r="Z8" s="247">
        <v>0</v>
      </c>
    </row>
    <row r="9" spans="1:26" ht="14.65" thickTop="1" x14ac:dyDescent="0.45">
      <c r="A9" s="66" t="s">
        <v>163</v>
      </c>
      <c r="B9" s="66"/>
      <c r="C9" s="161">
        <f>SUM(C7:C8)</f>
        <v>152000</v>
      </c>
      <c r="D9" s="189">
        <f>SUM(D7:D8)</f>
        <v>175700</v>
      </c>
      <c r="E9" s="189">
        <f t="shared" ref="E9:I9" si="3">SUM(E7:E8)</f>
        <v>17570</v>
      </c>
      <c r="F9" s="189">
        <f t="shared" si="3"/>
        <v>17570</v>
      </c>
      <c r="G9" s="5">
        <f t="shared" si="3"/>
        <v>43200</v>
      </c>
      <c r="H9" s="5"/>
      <c r="I9" s="82">
        <f t="shared" si="3"/>
        <v>255240</v>
      </c>
      <c r="J9" s="67"/>
      <c r="K9" s="140"/>
      <c r="M9" s="5">
        <f>SUM(M7:M8)</f>
        <v>139410</v>
      </c>
      <c r="N9" s="5">
        <f t="shared" ref="N9:R9" si="4">SUM(N7:N8)</f>
        <v>57915</v>
      </c>
      <c r="O9" s="5">
        <f t="shared" si="4"/>
        <v>57915</v>
      </c>
      <c r="P9" s="5">
        <f t="shared" si="4"/>
        <v>0</v>
      </c>
      <c r="Q9" s="5">
        <f t="shared" si="4"/>
        <v>0</v>
      </c>
      <c r="R9" s="5">
        <f t="shared" si="4"/>
        <v>0</v>
      </c>
      <c r="S9" s="5">
        <f t="shared" si="2"/>
        <v>255240</v>
      </c>
    </row>
    <row r="10" spans="1:26" ht="15.4" x14ac:dyDescent="0.45">
      <c r="A10" s="67"/>
      <c r="B10" s="67"/>
      <c r="C10" s="5"/>
      <c r="D10" s="237"/>
      <c r="E10" s="81"/>
      <c r="F10" s="237"/>
      <c r="G10" s="238"/>
      <c r="H10" s="238"/>
      <c r="I10" s="82"/>
      <c r="J10" s="67"/>
      <c r="K10" s="140"/>
    </row>
    <row r="12" spans="1:26" x14ac:dyDescent="0.35">
      <c r="A12" s="62" t="s">
        <v>164</v>
      </c>
      <c r="B12" s="83">
        <v>0.1</v>
      </c>
    </row>
    <row r="13" spans="1:26" x14ac:dyDescent="0.35">
      <c r="A13" s="62" t="s">
        <v>165</v>
      </c>
      <c r="B13" s="83">
        <v>0.1</v>
      </c>
    </row>
    <row r="14" spans="1:26" x14ac:dyDescent="0.35">
      <c r="A14" s="62" t="s">
        <v>166</v>
      </c>
      <c r="B14" s="5">
        <f>1500*1.2</f>
        <v>1800</v>
      </c>
      <c r="C14" s="84" t="s">
        <v>167</v>
      </c>
    </row>
    <row r="15" spans="1:26" x14ac:dyDescent="0.35">
      <c r="A15" s="62" t="s">
        <v>168</v>
      </c>
      <c r="B15" s="5">
        <v>50</v>
      </c>
    </row>
    <row r="16" spans="1:26" x14ac:dyDescent="0.35">
      <c r="A16" s="62"/>
      <c r="B16" s="5"/>
    </row>
    <row r="17" spans="1:2" ht="13.15" x14ac:dyDescent="0.4">
      <c r="A17" s="319" t="s">
        <v>169</v>
      </c>
    </row>
    <row r="18" spans="1:2" x14ac:dyDescent="0.35">
      <c r="A18" t="s">
        <v>170</v>
      </c>
    </row>
    <row r="19" spans="1:2" x14ac:dyDescent="0.35">
      <c r="A19" t="s">
        <v>171</v>
      </c>
    </row>
    <row r="20" spans="1:2" x14ac:dyDescent="0.35">
      <c r="A20" t="s">
        <v>172</v>
      </c>
    </row>
    <row r="21" spans="1:2" x14ac:dyDescent="0.35">
      <c r="A21" t="s">
        <v>173</v>
      </c>
    </row>
    <row r="22" spans="1:2" x14ac:dyDescent="0.35">
      <c r="A22" s="355"/>
      <c r="B22" s="355"/>
    </row>
    <row r="26" spans="1:2" x14ac:dyDescent="0.35">
      <c r="A26" s="355"/>
      <c r="B26" s="355"/>
    </row>
  </sheetData>
  <mergeCells count="4">
    <mergeCell ref="U5:Z5"/>
    <mergeCell ref="A22:B22"/>
    <mergeCell ref="A26:B26"/>
    <mergeCell ref="M5:R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53C5-30D3-475C-9733-9BBC539ED42F}">
  <dimension ref="A1:I14"/>
  <sheetViews>
    <sheetView workbookViewId="0">
      <selection activeCell="A12" sqref="A12"/>
    </sheetView>
    <sheetView workbookViewId="1"/>
  </sheetViews>
  <sheetFormatPr defaultColWidth="8.86328125" defaultRowHeight="12.75" x14ac:dyDescent="0.35"/>
  <cols>
    <col min="1" max="1" width="27.73046875" customWidth="1"/>
    <col min="2" max="2" width="15.73046875" customWidth="1"/>
    <col min="3" max="3" width="14.3984375" customWidth="1"/>
    <col min="5" max="5" width="13.265625" customWidth="1"/>
    <col min="6" max="6" width="10.3984375" customWidth="1"/>
  </cols>
  <sheetData>
    <row r="1" spans="1:9" ht="14.25" x14ac:dyDescent="0.45">
      <c r="A1" s="34" t="s">
        <v>143</v>
      </c>
      <c r="B1" s="35"/>
      <c r="C1" s="35"/>
      <c r="D1" s="35"/>
      <c r="E1" s="35"/>
      <c r="F1" s="35"/>
      <c r="G1" s="35"/>
      <c r="H1" s="34"/>
      <c r="I1" s="35"/>
    </row>
    <row r="2" spans="1:9" ht="14.25" x14ac:dyDescent="0.45">
      <c r="A2" s="34" t="s">
        <v>144</v>
      </c>
      <c r="B2" s="35"/>
      <c r="C2" s="35"/>
      <c r="D2" s="35"/>
      <c r="E2" s="35"/>
      <c r="F2" s="35"/>
      <c r="G2" s="35"/>
      <c r="H2" s="34"/>
      <c r="I2" s="35"/>
    </row>
    <row r="3" spans="1:9" ht="14.25" x14ac:dyDescent="0.45">
      <c r="A3" s="34" t="s">
        <v>152</v>
      </c>
      <c r="B3" s="35"/>
      <c r="C3" s="35"/>
      <c r="D3" s="35"/>
      <c r="E3" s="35"/>
      <c r="F3" s="35"/>
      <c r="G3" s="35"/>
      <c r="H3" s="34"/>
      <c r="I3" s="35"/>
    </row>
    <row r="4" spans="1:9" ht="14.25" x14ac:dyDescent="0.45">
      <c r="A4" s="34"/>
      <c r="B4" s="35"/>
      <c r="C4" s="35"/>
      <c r="D4" s="35"/>
      <c r="E4" s="35"/>
      <c r="F4" s="35"/>
      <c r="G4" s="35"/>
      <c r="H4" s="34"/>
      <c r="I4" s="35"/>
    </row>
    <row r="5" spans="1:9" ht="14.25" x14ac:dyDescent="0.45">
      <c r="A5" s="36" t="s">
        <v>174</v>
      </c>
      <c r="B5" s="35"/>
      <c r="C5" s="37"/>
      <c r="D5" s="37" t="s">
        <v>37</v>
      </c>
      <c r="E5" s="37" t="s">
        <v>147</v>
      </c>
      <c r="F5" s="37" t="s">
        <v>148</v>
      </c>
      <c r="G5" s="37" t="s">
        <v>149</v>
      </c>
      <c r="H5" s="38"/>
      <c r="I5" s="37"/>
    </row>
    <row r="6" spans="1:9" ht="14.25" x14ac:dyDescent="0.45">
      <c r="A6" s="35"/>
      <c r="B6" s="35"/>
      <c r="C6" s="39" t="s">
        <v>175</v>
      </c>
      <c r="D6" s="39" t="s">
        <v>153</v>
      </c>
      <c r="E6" s="39" t="s">
        <v>154</v>
      </c>
      <c r="F6" s="39" t="s">
        <v>155</v>
      </c>
      <c r="G6" s="39" t="s">
        <v>156</v>
      </c>
      <c r="H6" s="40" t="s">
        <v>119</v>
      </c>
      <c r="I6" s="39" t="s">
        <v>157</v>
      </c>
    </row>
    <row r="7" spans="1:9" ht="14.25" x14ac:dyDescent="0.45">
      <c r="A7" s="35" t="s">
        <v>159</v>
      </c>
      <c r="B7" s="35" t="s">
        <v>176</v>
      </c>
      <c r="C7" s="35">
        <v>107500</v>
      </c>
      <c r="D7" s="35">
        <f t="shared" ref="D7" si="0">SUM(C7+G7)*0.1</f>
        <v>10810</v>
      </c>
      <c r="E7" s="35">
        <f>SUM(C7*0.1)</f>
        <v>10750</v>
      </c>
      <c r="F7" s="35">
        <f>1500*12</f>
        <v>18000</v>
      </c>
      <c r="G7" s="35">
        <f>50*12</f>
        <v>600</v>
      </c>
      <c r="H7" s="34">
        <f>SUM(C7:G7)</f>
        <v>147660</v>
      </c>
      <c r="I7" s="35"/>
    </row>
    <row r="8" spans="1:9" ht="14.25" x14ac:dyDescent="0.45">
      <c r="A8" s="35" t="s">
        <v>177</v>
      </c>
      <c r="B8" s="35" t="s">
        <v>178</v>
      </c>
      <c r="C8" s="35">
        <v>62318</v>
      </c>
      <c r="D8" s="35">
        <f t="shared" ref="D8" si="1">SUM(C8*0.1)</f>
        <v>6231.8</v>
      </c>
      <c r="E8" s="35">
        <f>SUM(C8*0.1)</f>
        <v>6231.8</v>
      </c>
      <c r="F8" s="35">
        <f>1500*12</f>
        <v>18000</v>
      </c>
      <c r="G8" s="35">
        <f>50*12</f>
        <v>600</v>
      </c>
      <c r="H8" s="34">
        <f>SUM(C8:G8)</f>
        <v>93381.6</v>
      </c>
      <c r="I8" s="41"/>
    </row>
    <row r="9" spans="1:9" ht="14.25" x14ac:dyDescent="0.45">
      <c r="A9" s="35" t="s">
        <v>179</v>
      </c>
      <c r="B9" s="35" t="s">
        <v>180</v>
      </c>
      <c r="C9" s="42">
        <f>SUM(10*15*52)</f>
        <v>7800</v>
      </c>
      <c r="D9" s="42">
        <f>SUM((C9+G9)*0.1)</f>
        <v>840</v>
      </c>
      <c r="E9" s="42">
        <v>0</v>
      </c>
      <c r="F9" s="42">
        <v>0</v>
      </c>
      <c r="G9" s="42">
        <f>50*12</f>
        <v>600</v>
      </c>
      <c r="H9" s="43">
        <f>SUM(C9:G9)</f>
        <v>9240</v>
      </c>
      <c r="I9" s="41"/>
    </row>
    <row r="10" spans="1:9" ht="14.25" x14ac:dyDescent="0.45">
      <c r="A10" s="114" t="s">
        <v>163</v>
      </c>
      <c r="B10" s="35"/>
      <c r="C10" s="35">
        <f t="shared" ref="C10:H10" si="2">SUM(C7:C9)</f>
        <v>177618</v>
      </c>
      <c r="D10" s="35">
        <f>SUM(D7:D9)</f>
        <v>17881.8</v>
      </c>
      <c r="E10" s="35">
        <f>SUM(E7:E9)</f>
        <v>16981.8</v>
      </c>
      <c r="F10" s="35">
        <f>SUM(F7:F9)</f>
        <v>36000</v>
      </c>
      <c r="G10" s="35">
        <f t="shared" si="2"/>
        <v>1800</v>
      </c>
      <c r="H10" s="34">
        <f t="shared" si="2"/>
        <v>250281.60000000001</v>
      </c>
      <c r="I10" s="35"/>
    </row>
    <row r="11" spans="1:9" ht="14.25" x14ac:dyDescent="0.45">
      <c r="A11" s="35"/>
      <c r="B11" s="35"/>
      <c r="C11" s="35"/>
      <c r="D11" s="35"/>
      <c r="E11" s="35"/>
      <c r="F11" s="35"/>
      <c r="G11" s="35"/>
      <c r="H11" s="34"/>
      <c r="I11" s="35"/>
    </row>
    <row r="12" spans="1:9" ht="14.25" x14ac:dyDescent="0.45">
      <c r="A12" s="35"/>
      <c r="B12" s="35"/>
      <c r="C12" s="35"/>
      <c r="D12" s="35"/>
      <c r="E12" s="35"/>
      <c r="F12" s="35"/>
      <c r="G12" s="35"/>
      <c r="H12" s="34"/>
      <c r="I12" s="35"/>
    </row>
    <row r="13" spans="1:9" ht="14.25" x14ac:dyDescent="0.45">
      <c r="A13" s="35"/>
      <c r="B13" s="35"/>
      <c r="C13" s="35"/>
      <c r="D13" s="35"/>
      <c r="E13" s="35"/>
      <c r="F13" s="35"/>
      <c r="G13" s="35"/>
      <c r="H13" s="34"/>
      <c r="I13" s="35"/>
    </row>
    <row r="14" spans="1:9" ht="14.25" x14ac:dyDescent="0.45">
      <c r="A14" s="35"/>
      <c r="B14" s="35"/>
      <c r="C14" s="44"/>
      <c r="D14" s="35"/>
      <c r="E14" s="35"/>
      <c r="F14" s="35"/>
      <c r="G14" s="35"/>
      <c r="H14" s="34"/>
      <c r="I14" s="3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BE580-E043-1D44-BF84-A674B6CE6CDC}">
  <sheetPr>
    <pageSetUpPr fitToPage="1"/>
  </sheetPr>
  <dimension ref="A1:M81"/>
  <sheetViews>
    <sheetView topLeftCell="A5" zoomScale="97" zoomScaleNormal="97" workbookViewId="0">
      <selection activeCell="C44" sqref="C44"/>
    </sheetView>
    <sheetView zoomScale="180" zoomScaleNormal="180" workbookViewId="1">
      <selection activeCell="A2" sqref="A2:F2"/>
    </sheetView>
  </sheetViews>
  <sheetFormatPr defaultColWidth="9.1328125" defaultRowHeight="14.25" x14ac:dyDescent="0.45"/>
  <cols>
    <col min="1" max="1" width="42.73046875" style="77" customWidth="1"/>
    <col min="2" max="2" width="17.86328125" style="260" bestFit="1" customWidth="1"/>
    <col min="3" max="3" width="23.3984375" style="77" customWidth="1"/>
    <col min="4" max="6" width="17.3984375" style="77" customWidth="1"/>
    <col min="7" max="7" width="10.59765625" style="173" bestFit="1" customWidth="1"/>
    <col min="8" max="8" width="17.1328125" style="197" customWidth="1"/>
    <col min="9" max="9" width="10.59765625" style="173" bestFit="1" customWidth="1"/>
    <col min="10" max="10" width="15.73046875" style="78" bestFit="1" customWidth="1"/>
    <col min="11" max="11" width="2.59765625" style="77" customWidth="1"/>
    <col min="12" max="12" width="98.73046875" style="77" customWidth="1"/>
    <col min="13" max="13" width="6" style="139" bestFit="1" customWidth="1"/>
    <col min="14" max="16384" width="9.1328125" style="77"/>
  </cols>
  <sheetData>
    <row r="1" spans="1:13" x14ac:dyDescent="0.45">
      <c r="A1" s="76" t="s">
        <v>181</v>
      </c>
      <c r="B1" s="270"/>
      <c r="H1" s="265" t="s">
        <v>0</v>
      </c>
      <c r="I1" s="223">
        <v>46203</v>
      </c>
    </row>
    <row r="2" spans="1:13" ht="28.5" x14ac:dyDescent="0.45">
      <c r="A2" s="76" t="s">
        <v>182</v>
      </c>
      <c r="B2" s="261" t="s">
        <v>183</v>
      </c>
      <c r="C2" s="76" t="s">
        <v>184</v>
      </c>
      <c r="D2" s="76" t="s">
        <v>185</v>
      </c>
      <c r="E2" s="76" t="s">
        <v>186</v>
      </c>
      <c r="F2" s="76" t="s">
        <v>187</v>
      </c>
      <c r="G2" s="174" t="s">
        <v>188</v>
      </c>
      <c r="H2" s="76" t="s">
        <v>189</v>
      </c>
      <c r="I2" s="174" t="s">
        <v>4</v>
      </c>
      <c r="J2" s="79" t="s">
        <v>190</v>
      </c>
      <c r="L2" s="77" t="s">
        <v>6</v>
      </c>
      <c r="M2" s="139" t="s">
        <v>7</v>
      </c>
    </row>
    <row r="3" spans="1:13" x14ac:dyDescent="0.45">
      <c r="A3" s="77" t="s">
        <v>134</v>
      </c>
      <c r="B3" s="270">
        <v>2500</v>
      </c>
      <c r="C3" s="80" t="s">
        <v>191</v>
      </c>
      <c r="D3" s="264" t="s">
        <v>192</v>
      </c>
      <c r="E3" s="264" t="s">
        <v>11</v>
      </c>
      <c r="F3" s="264" t="s">
        <v>192</v>
      </c>
      <c r="G3" s="175"/>
      <c r="H3" s="271"/>
    </row>
    <row r="4" spans="1:13" x14ac:dyDescent="0.45">
      <c r="A4" s="77" t="s">
        <v>136</v>
      </c>
      <c r="B4" s="270">
        <v>10000</v>
      </c>
      <c r="C4" s="80" t="s">
        <v>191</v>
      </c>
      <c r="D4" s="264" t="s">
        <v>192</v>
      </c>
      <c r="E4" s="264" t="s">
        <v>124</v>
      </c>
      <c r="F4" s="264" t="s">
        <v>192</v>
      </c>
      <c r="G4" s="175"/>
      <c r="H4" s="264"/>
      <c r="I4" s="175"/>
      <c r="J4" s="80"/>
    </row>
    <row r="5" spans="1:13" x14ac:dyDescent="0.45">
      <c r="A5" s="77" t="s">
        <v>193</v>
      </c>
      <c r="B5" s="270">
        <v>0</v>
      </c>
      <c r="C5" s="77" t="s">
        <v>194</v>
      </c>
      <c r="H5" s="265"/>
      <c r="J5" s="77"/>
    </row>
    <row r="6" spans="1:13" x14ac:dyDescent="0.45">
      <c r="A6" s="77" t="s">
        <v>195</v>
      </c>
      <c r="B6" s="270">
        <v>0</v>
      </c>
      <c r="C6" s="77" t="s">
        <v>194</v>
      </c>
      <c r="H6" s="265"/>
      <c r="J6" s="77"/>
    </row>
    <row r="7" spans="1:13" x14ac:dyDescent="0.45">
      <c r="A7" s="77" t="s">
        <v>196</v>
      </c>
      <c r="B7" s="270">
        <v>25000</v>
      </c>
      <c r="C7" s="77" t="s">
        <v>191</v>
      </c>
      <c r="D7" s="265" t="s">
        <v>197</v>
      </c>
      <c r="E7" s="265" t="s">
        <v>124</v>
      </c>
      <c r="F7" s="265" t="s">
        <v>198</v>
      </c>
      <c r="H7" s="265"/>
      <c r="J7" s="77"/>
    </row>
    <row r="8" spans="1:13" x14ac:dyDescent="0.45">
      <c r="A8" s="77" t="s">
        <v>199</v>
      </c>
      <c r="B8" s="270">
        <v>100000</v>
      </c>
      <c r="C8" s="77" t="s">
        <v>200</v>
      </c>
      <c r="D8" s="265" t="s">
        <v>197</v>
      </c>
      <c r="E8" s="265" t="s">
        <v>201</v>
      </c>
      <c r="F8" s="265" t="s">
        <v>198</v>
      </c>
      <c r="H8" s="265"/>
      <c r="J8" s="77"/>
    </row>
    <row r="9" spans="1:13" x14ac:dyDescent="0.45">
      <c r="A9" s="77" t="s">
        <v>139</v>
      </c>
      <c r="B9" s="270">
        <v>75000</v>
      </c>
      <c r="C9" s="77" t="s">
        <v>191</v>
      </c>
      <c r="D9" s="265" t="s">
        <v>202</v>
      </c>
      <c r="E9" s="265" t="s">
        <v>201</v>
      </c>
      <c r="F9" s="265" t="s">
        <v>198</v>
      </c>
      <c r="H9" s="265"/>
      <c r="J9" s="77"/>
    </row>
    <row r="10" spans="1:13" ht="15.4" x14ac:dyDescent="0.45">
      <c r="A10" s="77" t="s">
        <v>137</v>
      </c>
      <c r="B10" s="270">
        <v>2500</v>
      </c>
      <c r="C10" s="80" t="s">
        <v>191</v>
      </c>
      <c r="D10" s="264" t="s">
        <v>192</v>
      </c>
      <c r="E10" s="264" t="s">
        <v>124</v>
      </c>
      <c r="F10" s="264" t="s">
        <v>203</v>
      </c>
      <c r="G10" s="175"/>
      <c r="H10" s="271"/>
      <c r="J10" s="144">
        <f>SUM(J5:J9)</f>
        <v>0</v>
      </c>
    </row>
    <row r="11" spans="1:13" x14ac:dyDescent="0.45">
      <c r="A11" s="77" t="s">
        <v>129</v>
      </c>
      <c r="B11" s="270">
        <v>30000</v>
      </c>
      <c r="C11" s="77" t="s">
        <v>204</v>
      </c>
      <c r="D11" s="265" t="s">
        <v>202</v>
      </c>
      <c r="E11" s="265" t="s">
        <v>122</v>
      </c>
      <c r="F11" s="265" t="s">
        <v>198</v>
      </c>
      <c r="H11" s="271"/>
    </row>
    <row r="12" spans="1:13" ht="39" customHeight="1" x14ac:dyDescent="0.45">
      <c r="A12" s="77" t="s">
        <v>138</v>
      </c>
      <c r="B12" s="270">
        <v>20000</v>
      </c>
      <c r="C12" s="77" t="s">
        <v>191</v>
      </c>
      <c r="D12" s="265" t="s">
        <v>202</v>
      </c>
      <c r="E12" s="265" t="s">
        <v>124</v>
      </c>
      <c r="F12" s="265" t="s">
        <v>203</v>
      </c>
      <c r="H12" s="271"/>
    </row>
    <row r="13" spans="1:13" x14ac:dyDescent="0.45">
      <c r="A13" s="77" t="s">
        <v>135</v>
      </c>
      <c r="B13" s="270">
        <v>15000</v>
      </c>
      <c r="C13" s="77" t="s">
        <v>191</v>
      </c>
      <c r="D13" s="265" t="s">
        <v>202</v>
      </c>
      <c r="E13" s="265" t="s">
        <v>11</v>
      </c>
      <c r="F13" s="265" t="s">
        <v>198</v>
      </c>
      <c r="H13" s="271"/>
    </row>
    <row r="14" spans="1:13" x14ac:dyDescent="0.45">
      <c r="A14" s="77" t="s">
        <v>205</v>
      </c>
      <c r="B14" s="270">
        <v>50000</v>
      </c>
      <c r="C14" s="80" t="s">
        <v>206</v>
      </c>
      <c r="D14" s="264" t="s">
        <v>203</v>
      </c>
      <c r="E14" s="264" t="s">
        <v>122</v>
      </c>
      <c r="F14" s="264" t="s">
        <v>198</v>
      </c>
      <c r="H14" s="271"/>
    </row>
    <row r="15" spans="1:13" x14ac:dyDescent="0.45">
      <c r="A15" s="77" t="s">
        <v>131</v>
      </c>
      <c r="B15" s="270">
        <v>2500</v>
      </c>
      <c r="C15" s="77" t="s">
        <v>191</v>
      </c>
      <c r="D15" s="265" t="s">
        <v>202</v>
      </c>
      <c r="E15" s="265" t="s">
        <v>123</v>
      </c>
      <c r="F15" s="265" t="s">
        <v>198</v>
      </c>
      <c r="H15" s="271"/>
    </row>
    <row r="16" spans="1:13" x14ac:dyDescent="0.45">
      <c r="A16" s="77" t="s">
        <v>207</v>
      </c>
      <c r="B16" s="270">
        <v>25000</v>
      </c>
      <c r="C16" s="77" t="s">
        <v>191</v>
      </c>
      <c r="D16" s="265" t="s">
        <v>198</v>
      </c>
      <c r="E16" s="265" t="s">
        <v>124</v>
      </c>
      <c r="F16" s="265" t="s">
        <v>203</v>
      </c>
      <c r="H16" s="271"/>
    </row>
    <row r="17" spans="1:10" x14ac:dyDescent="0.45">
      <c r="A17" s="77" t="s">
        <v>132</v>
      </c>
      <c r="B17" s="270">
        <v>2500</v>
      </c>
      <c r="C17" s="77" t="s">
        <v>191</v>
      </c>
      <c r="D17" s="265" t="s">
        <v>192</v>
      </c>
      <c r="E17" s="265" t="s">
        <v>123</v>
      </c>
      <c r="F17" s="265" t="s">
        <v>198</v>
      </c>
      <c r="H17" s="271"/>
    </row>
    <row r="18" spans="1:10" x14ac:dyDescent="0.45">
      <c r="A18" s="77" t="s">
        <v>133</v>
      </c>
      <c r="B18" s="270">
        <v>5000</v>
      </c>
      <c r="C18" s="77" t="s">
        <v>208</v>
      </c>
      <c r="D18" s="265" t="s">
        <v>192</v>
      </c>
      <c r="E18" s="265" t="s">
        <v>123</v>
      </c>
      <c r="F18" s="265" t="s">
        <v>198</v>
      </c>
      <c r="H18" s="271"/>
    </row>
    <row r="19" spans="1:10" x14ac:dyDescent="0.45">
      <c r="A19" s="85" t="s">
        <v>209</v>
      </c>
      <c r="B19" s="262">
        <f>SUM(B3:B18)</f>
        <v>365000</v>
      </c>
      <c r="H19" s="271"/>
      <c r="I19" s="173" t="s">
        <v>210</v>
      </c>
      <c r="J19" s="78">
        <f>SUM(J3:J18)</f>
        <v>0</v>
      </c>
    </row>
    <row r="20" spans="1:10" x14ac:dyDescent="0.45">
      <c r="A20" s="86" t="s">
        <v>211</v>
      </c>
      <c r="B20" s="263">
        <v>200000</v>
      </c>
      <c r="H20" s="271"/>
    </row>
    <row r="21" spans="1:10" x14ac:dyDescent="0.45">
      <c r="B21" s="270"/>
      <c r="H21" s="271"/>
    </row>
    <row r="22" spans="1:10" x14ac:dyDescent="0.45">
      <c r="B22" s="270"/>
      <c r="H22" s="271"/>
    </row>
    <row r="23" spans="1:10" x14ac:dyDescent="0.45">
      <c r="B23" s="270"/>
      <c r="H23" s="271"/>
    </row>
    <row r="24" spans="1:10" x14ac:dyDescent="0.45">
      <c r="B24" s="270"/>
      <c r="H24" s="271"/>
    </row>
    <row r="26" spans="1:10" x14ac:dyDescent="0.45">
      <c r="A26"/>
      <c r="B26" s="270"/>
      <c r="H26" s="265"/>
    </row>
    <row r="27" spans="1:10" x14ac:dyDescent="0.45">
      <c r="B27" s="270"/>
      <c r="H27" s="265"/>
      <c r="J27" s="80">
        <f>SUM(J10,J12:J24)</f>
        <v>0</v>
      </c>
    </row>
    <row r="28" spans="1:10" x14ac:dyDescent="0.45">
      <c r="A28"/>
      <c r="B28" s="270"/>
      <c r="H28" s="265"/>
    </row>
    <row r="29" spans="1:10" x14ac:dyDescent="0.45">
      <c r="A29"/>
      <c r="B29" s="270"/>
      <c r="H29" s="265"/>
    </row>
    <row r="30" spans="1:10" x14ac:dyDescent="0.45">
      <c r="A30"/>
      <c r="B30" s="270"/>
      <c r="H30" s="265"/>
    </row>
    <row r="31" spans="1:10" x14ac:dyDescent="0.45">
      <c r="A31"/>
      <c r="B31" s="270"/>
      <c r="H31" s="265"/>
    </row>
    <row r="32" spans="1:10" hidden="1" x14ac:dyDescent="0.45">
      <c r="A32"/>
      <c r="B32" s="270"/>
      <c r="H32" s="265"/>
    </row>
    <row r="33" spans="1:12" hidden="1" x14ac:dyDescent="0.45">
      <c r="A33"/>
      <c r="B33" s="270"/>
      <c r="H33" s="265"/>
    </row>
    <row r="34" spans="1:12" hidden="1" x14ac:dyDescent="0.45">
      <c r="A34"/>
      <c r="B34" s="270"/>
      <c r="H34" s="265"/>
    </row>
    <row r="35" spans="1:12" hidden="1" x14ac:dyDescent="0.45">
      <c r="A35"/>
      <c r="B35" s="270"/>
      <c r="H35" s="265"/>
    </row>
    <row r="36" spans="1:12" hidden="1" x14ac:dyDescent="0.45">
      <c r="A36"/>
      <c r="B36" s="270"/>
      <c r="H36" s="265"/>
    </row>
    <row r="37" spans="1:12" hidden="1" x14ac:dyDescent="0.45">
      <c r="A37"/>
      <c r="B37" s="270"/>
      <c r="H37" s="265"/>
    </row>
    <row r="38" spans="1:12" x14ac:dyDescent="0.45">
      <c r="A38"/>
      <c r="B38" s="270"/>
      <c r="H38" s="265"/>
    </row>
    <row r="39" spans="1:12" ht="15.4" x14ac:dyDescent="0.45">
      <c r="A39"/>
      <c r="B39" s="270"/>
      <c r="H39" s="265"/>
      <c r="J39" s="124">
        <f>SUM(J32:J37)</f>
        <v>0</v>
      </c>
    </row>
    <row r="40" spans="1:12" x14ac:dyDescent="0.45">
      <c r="A40"/>
      <c r="B40" s="270"/>
      <c r="H40" s="265"/>
    </row>
    <row r="41" spans="1:12" x14ac:dyDescent="0.45">
      <c r="A41"/>
      <c r="B41" s="270"/>
      <c r="H41" s="265"/>
    </row>
    <row r="42" spans="1:12" x14ac:dyDescent="0.45">
      <c r="A42"/>
      <c r="B42" s="270"/>
      <c r="H42" s="265"/>
    </row>
    <row r="43" spans="1:12" ht="42.75" x14ac:dyDescent="0.45">
      <c r="A43"/>
      <c r="B43" s="270" t="s">
        <v>55</v>
      </c>
      <c r="H43" s="265"/>
      <c r="L43" s="77" t="s">
        <v>212</v>
      </c>
    </row>
    <row r="44" spans="1:12" ht="57" x14ac:dyDescent="0.45">
      <c r="A44"/>
      <c r="B44" s="270" t="s">
        <v>58</v>
      </c>
      <c r="H44" s="265"/>
    </row>
    <row r="45" spans="1:12" ht="28.5" x14ac:dyDescent="0.45">
      <c r="B45" s="270" t="s">
        <v>61</v>
      </c>
      <c r="G45" s="173">
        <v>0</v>
      </c>
      <c r="H45" s="265">
        <v>0</v>
      </c>
      <c r="I45" s="233">
        <v>0</v>
      </c>
      <c r="J45" s="78">
        <f>48000</f>
        <v>48000</v>
      </c>
    </row>
    <row r="46" spans="1:12" ht="28.5" x14ac:dyDescent="0.45">
      <c r="B46" s="270" t="s">
        <v>213</v>
      </c>
      <c r="H46" s="265"/>
      <c r="L46" s="77" t="s">
        <v>214</v>
      </c>
    </row>
    <row r="48" spans="1:12" x14ac:dyDescent="0.45">
      <c r="B48" s="270"/>
      <c r="H48" s="265"/>
      <c r="J48" s="78">
        <f>(1200*12)*1.1</f>
        <v>15840.000000000002</v>
      </c>
    </row>
    <row r="59" spans="1:10" x14ac:dyDescent="0.45">
      <c r="A59" s="356"/>
      <c r="B59" s="356"/>
      <c r="H59" s="265"/>
    </row>
    <row r="60" spans="1:10" ht="15.4" x14ac:dyDescent="0.45">
      <c r="A60" s="356"/>
      <c r="B60" s="356"/>
      <c r="G60" s="229">
        <f>SUM(G61:G62)</f>
        <v>0</v>
      </c>
      <c r="H60" s="229">
        <f>SUM(H61:H62)</f>
        <v>0</v>
      </c>
      <c r="I60" s="229"/>
      <c r="J60" s="124">
        <f>SUM(J61:J62)</f>
        <v>0</v>
      </c>
    </row>
    <row r="63" spans="1:10" x14ac:dyDescent="0.45">
      <c r="A63" s="356"/>
      <c r="B63" s="356"/>
      <c r="G63" s="173">
        <f>SUM(G64:G66)</f>
        <v>0</v>
      </c>
      <c r="H63" s="173">
        <f>SUM(H64:H66)</f>
        <v>0</v>
      </c>
      <c r="J63" s="78">
        <f>SUM(J64:J66)</f>
        <v>0</v>
      </c>
    </row>
    <row r="67" spans="1:2" x14ac:dyDescent="0.45">
      <c r="A67" s="356"/>
      <c r="B67" s="356"/>
    </row>
    <row r="71" spans="1:2" x14ac:dyDescent="0.45">
      <c r="A71" s="356"/>
      <c r="B71" s="356"/>
    </row>
    <row r="81" spans="2:2" x14ac:dyDescent="0.45">
      <c r="B81" s="270" t="s">
        <v>110</v>
      </c>
    </row>
  </sheetData>
  <mergeCells count="5">
    <mergeCell ref="A59:B59"/>
    <mergeCell ref="A60:B60"/>
    <mergeCell ref="A63:B63"/>
    <mergeCell ref="A67:B67"/>
    <mergeCell ref="A71:B71"/>
  </mergeCells>
  <printOptions gridLines="1"/>
  <pageMargins left="0.25" right="0.25" top="0.75" bottom="0.75" header="0.3" footer="0.3"/>
  <pageSetup fitToWidth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70E8-59A0-4CA8-8A12-B11D3E08CDA3}">
  <dimension ref="A1:J32"/>
  <sheetViews>
    <sheetView zoomScale="97" zoomScaleNormal="97" workbookViewId="0">
      <selection activeCell="E49" sqref="E49"/>
    </sheetView>
    <sheetView workbookViewId="1">
      <selection activeCell="C5" sqref="C5"/>
    </sheetView>
  </sheetViews>
  <sheetFormatPr defaultColWidth="8.86328125" defaultRowHeight="12.75" x14ac:dyDescent="0.35"/>
  <cols>
    <col min="1" max="1" width="22.265625" bestFit="1" customWidth="1"/>
    <col min="2" max="2" width="43.3984375" bestFit="1" customWidth="1"/>
    <col min="3" max="3" width="12.73046875" style="253" bestFit="1" customWidth="1"/>
    <col min="4" max="4" width="10" style="189" bestFit="1" customWidth="1"/>
    <col min="5" max="5" width="8.86328125" style="62"/>
    <col min="6" max="6" width="10.59765625" style="165" bestFit="1" customWidth="1"/>
    <col min="7" max="7" width="6.73046875" bestFit="1" customWidth="1"/>
    <col min="8" max="8" width="2.59765625" customWidth="1"/>
    <col min="9" max="9" width="98.73046875" customWidth="1"/>
    <col min="10" max="10" width="11" style="138" bestFit="1" customWidth="1"/>
  </cols>
  <sheetData>
    <row r="1" spans="1:10" ht="14.25" x14ac:dyDescent="0.45">
      <c r="A1" s="17" t="s">
        <v>215</v>
      </c>
      <c r="B1" s="17"/>
      <c r="C1" s="169" t="s">
        <v>216</v>
      </c>
      <c r="D1" s="249" t="s">
        <v>145</v>
      </c>
      <c r="E1" s="17" t="s">
        <v>0</v>
      </c>
      <c r="F1" s="222">
        <v>46203</v>
      </c>
    </row>
    <row r="2" spans="1:10" x14ac:dyDescent="0.35">
      <c r="B2" t="s">
        <v>217</v>
      </c>
      <c r="C2" s="168">
        <v>480</v>
      </c>
      <c r="D2" s="250"/>
      <c r="E2" s="62" t="s">
        <v>218</v>
      </c>
      <c r="F2" s="165" t="s">
        <v>4</v>
      </c>
      <c r="I2" t="s">
        <v>6</v>
      </c>
      <c r="J2" s="138" t="s">
        <v>7</v>
      </c>
    </row>
    <row r="3" spans="1:10" x14ac:dyDescent="0.35">
      <c r="B3" t="s">
        <v>219</v>
      </c>
      <c r="C3" s="168">
        <v>139</v>
      </c>
      <c r="D3" s="250">
        <v>0</v>
      </c>
      <c r="E3" s="62" t="s">
        <v>220</v>
      </c>
    </row>
    <row r="4" spans="1:10" ht="14.25" x14ac:dyDescent="0.45">
      <c r="A4" s="17"/>
      <c r="B4" t="s">
        <v>221</v>
      </c>
      <c r="C4" s="168">
        <v>675</v>
      </c>
      <c r="D4" s="250">
        <v>0</v>
      </c>
      <c r="E4" s="194" t="s">
        <v>222</v>
      </c>
      <c r="F4" s="168"/>
      <c r="G4" s="19"/>
    </row>
    <row r="5" spans="1:10" ht="14.25" x14ac:dyDescent="0.45">
      <c r="A5" s="17"/>
      <c r="B5" t="s">
        <v>223</v>
      </c>
      <c r="C5" s="318">
        <v>150</v>
      </c>
      <c r="D5" s="250">
        <v>0</v>
      </c>
      <c r="E5" s="194" t="s">
        <v>224</v>
      </c>
      <c r="F5" s="168"/>
      <c r="G5" s="19"/>
    </row>
    <row r="6" spans="1:10" ht="14.25" x14ac:dyDescent="0.45">
      <c r="B6" t="s">
        <v>225</v>
      </c>
      <c r="C6" s="170">
        <v>100</v>
      </c>
      <c r="D6" s="249">
        <v>0</v>
      </c>
      <c r="E6" s="21" t="s">
        <v>226</v>
      </c>
      <c r="F6" s="170"/>
      <c r="G6" s="21"/>
    </row>
    <row r="7" spans="1:10" ht="14.25" x14ac:dyDescent="0.45">
      <c r="A7" s="17"/>
      <c r="B7" s="27" t="s">
        <v>227</v>
      </c>
      <c r="C7" s="171">
        <v>399</v>
      </c>
      <c r="D7" s="251"/>
      <c r="E7" s="30" t="s">
        <v>228</v>
      </c>
      <c r="F7" s="171"/>
      <c r="G7" s="30"/>
    </row>
    <row r="8" spans="1:10" x14ac:dyDescent="0.35">
      <c r="B8" t="s">
        <v>229</v>
      </c>
      <c r="C8" s="172">
        <f>625+950</f>
        <v>1575</v>
      </c>
      <c r="D8" s="252">
        <v>80</v>
      </c>
      <c r="E8" s="195" t="s">
        <v>230</v>
      </c>
      <c r="F8" s="172"/>
      <c r="G8" s="31"/>
    </row>
    <row r="9" spans="1:10" x14ac:dyDescent="0.35">
      <c r="B9" t="s">
        <v>231</v>
      </c>
      <c r="C9" s="172">
        <v>420</v>
      </c>
      <c r="D9" s="252">
        <v>50</v>
      </c>
      <c r="E9" s="195" t="s">
        <v>232</v>
      </c>
      <c r="F9" s="172"/>
      <c r="G9" s="31"/>
    </row>
    <row r="10" spans="1:10" ht="15" x14ac:dyDescent="0.4">
      <c r="B10" t="s">
        <v>233</v>
      </c>
      <c r="C10" s="168">
        <v>48</v>
      </c>
      <c r="D10" s="250">
        <v>0</v>
      </c>
      <c r="E10" s="62" t="s">
        <v>234</v>
      </c>
      <c r="G10" s="143">
        <f>SUM(G5:G9)</f>
        <v>0</v>
      </c>
    </row>
    <row r="11" spans="1:10" x14ac:dyDescent="0.35">
      <c r="B11" t="s">
        <v>235</v>
      </c>
      <c r="C11" s="168">
        <v>95</v>
      </c>
      <c r="D11" s="250">
        <v>0</v>
      </c>
      <c r="E11" s="62" t="s">
        <v>236</v>
      </c>
    </row>
    <row r="12" spans="1:10" x14ac:dyDescent="0.35">
      <c r="B12" t="s">
        <v>237</v>
      </c>
      <c r="C12" s="168">
        <v>0</v>
      </c>
      <c r="D12" s="250">
        <v>0</v>
      </c>
      <c r="E12" s="62" t="s">
        <v>238</v>
      </c>
    </row>
    <row r="13" spans="1:10" x14ac:dyDescent="0.35">
      <c r="B13" t="s">
        <v>239</v>
      </c>
      <c r="C13" s="168">
        <v>3200</v>
      </c>
      <c r="D13" s="250">
        <v>3200</v>
      </c>
    </row>
    <row r="14" spans="1:10" x14ac:dyDescent="0.35">
      <c r="B14" t="s">
        <v>240</v>
      </c>
      <c r="C14" s="168">
        <v>5500</v>
      </c>
      <c r="D14" s="189">
        <v>6000</v>
      </c>
    </row>
    <row r="15" spans="1:10" x14ac:dyDescent="0.35">
      <c r="C15" s="165"/>
      <c r="E15" s="196"/>
    </row>
    <row r="16" spans="1:10" ht="14.25" x14ac:dyDescent="0.45">
      <c r="B16" s="20" t="s">
        <v>241</v>
      </c>
      <c r="C16" s="318"/>
      <c r="D16" s="251"/>
      <c r="E16" s="196"/>
    </row>
    <row r="17" spans="1:5" ht="14.25" x14ac:dyDescent="0.45">
      <c r="B17" s="17" t="s">
        <v>119</v>
      </c>
      <c r="C17" s="170">
        <f>SUM(C2:C16)</f>
        <v>12781</v>
      </c>
      <c r="D17" s="251">
        <f>SUM(D2:D16)</f>
        <v>9330</v>
      </c>
      <c r="E17" s="196"/>
    </row>
    <row r="18" spans="1:5" ht="14.25" x14ac:dyDescent="0.45">
      <c r="A18" s="28"/>
      <c r="B18" s="29"/>
      <c r="C18" s="171"/>
      <c r="D18" s="251"/>
      <c r="E18" s="196"/>
    </row>
    <row r="19" spans="1:5" ht="14.25" x14ac:dyDescent="0.45">
      <c r="A19" s="29"/>
      <c r="B19" s="28"/>
      <c r="C19" s="172"/>
      <c r="D19" s="251"/>
      <c r="E19" s="196"/>
    </row>
    <row r="20" spans="1:5" ht="14.25" x14ac:dyDescent="0.45">
      <c r="A20" s="28"/>
      <c r="B20" s="28"/>
      <c r="C20" s="172"/>
      <c r="D20" s="251"/>
      <c r="E20" s="196"/>
    </row>
    <row r="21" spans="1:5" ht="14.25" x14ac:dyDescent="0.45">
      <c r="A21" s="28"/>
      <c r="B21" s="28"/>
      <c r="C21" s="172"/>
      <c r="D21" s="251"/>
      <c r="E21" s="196"/>
    </row>
    <row r="22" spans="1:5" ht="14.25" x14ac:dyDescent="0.45">
      <c r="A22" s="28"/>
      <c r="B22" s="28"/>
      <c r="C22" s="172"/>
      <c r="D22" s="251"/>
      <c r="E22" s="196"/>
    </row>
    <row r="23" spans="1:5" ht="14.25" x14ac:dyDescent="0.45">
      <c r="A23" s="28"/>
      <c r="B23" s="28"/>
      <c r="C23" s="172"/>
      <c r="D23" s="251"/>
      <c r="E23" s="196"/>
    </row>
    <row r="24" spans="1:5" ht="14.25" x14ac:dyDescent="0.45">
      <c r="A24" s="28"/>
      <c r="B24" s="28"/>
      <c r="C24" s="172"/>
      <c r="D24" s="251"/>
      <c r="E24" s="196"/>
    </row>
    <row r="25" spans="1:5" ht="14.25" x14ac:dyDescent="0.45">
      <c r="A25" s="28"/>
      <c r="B25" s="28"/>
      <c r="C25" s="172"/>
      <c r="D25" s="251"/>
      <c r="E25" s="196"/>
    </row>
    <row r="28" spans="1:5" x14ac:dyDescent="0.35">
      <c r="A28" s="355"/>
      <c r="B28" s="355"/>
      <c r="C28" s="165"/>
    </row>
    <row r="30" spans="1:5" x14ac:dyDescent="0.35">
      <c r="A30" t="s">
        <v>72</v>
      </c>
      <c r="C30" s="165"/>
    </row>
    <row r="31" spans="1:5" x14ac:dyDescent="0.35">
      <c r="B31" t="s">
        <v>242</v>
      </c>
      <c r="C31" s="168">
        <v>325</v>
      </c>
      <c r="D31" s="250">
        <v>325</v>
      </c>
    </row>
    <row r="32" spans="1:5" ht="14.25" x14ac:dyDescent="0.45">
      <c r="B32" t="s">
        <v>243</v>
      </c>
      <c r="C32" s="168">
        <v>35</v>
      </c>
      <c r="D32" s="251">
        <v>35</v>
      </c>
    </row>
  </sheetData>
  <mergeCells count="1">
    <mergeCell ref="A28:B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2E38D-F84C-49A9-BCB1-ED6EA181DB92}">
  <dimension ref="A1:J81"/>
  <sheetViews>
    <sheetView zoomScale="97" zoomScaleNormal="97" workbookViewId="0">
      <selection activeCell="A4" sqref="A4:XFD4"/>
    </sheetView>
    <sheetView workbookViewId="1">
      <selection activeCell="A5" sqref="A5:A7"/>
    </sheetView>
  </sheetViews>
  <sheetFormatPr defaultColWidth="8.86328125" defaultRowHeight="12.75" x14ac:dyDescent="0.35"/>
  <cols>
    <col min="1" max="1" width="35.265625" bestFit="1" customWidth="1"/>
    <col min="2" max="2" width="43.3984375" bestFit="1" customWidth="1"/>
    <col min="3" max="3" width="13" customWidth="1"/>
    <col min="4" max="4" width="14.265625" style="165" bestFit="1" customWidth="1"/>
    <col min="5" max="5" width="38.1328125" style="62" bestFit="1" customWidth="1"/>
    <col min="6" max="6" width="11.3984375" style="165" bestFit="1" customWidth="1"/>
    <col min="7" max="7" width="2" bestFit="1" customWidth="1"/>
    <col min="8" max="8" width="2.59765625" customWidth="1"/>
    <col min="9" max="9" width="98.73046875" customWidth="1"/>
    <col min="10" max="10" width="11" style="138" bestFit="1" customWidth="1"/>
  </cols>
  <sheetData>
    <row r="1" spans="1:10" ht="13.15" x14ac:dyDescent="0.4">
      <c r="B1" s="22"/>
      <c r="C1" s="22"/>
      <c r="D1" s="166"/>
      <c r="E1" s="192" t="s">
        <v>0</v>
      </c>
      <c r="F1" s="222">
        <v>46203</v>
      </c>
    </row>
    <row r="2" spans="1:10" ht="26.25" x14ac:dyDescent="0.4">
      <c r="B2" s="23" t="s">
        <v>2</v>
      </c>
      <c r="C2" s="23" t="s">
        <v>3</v>
      </c>
      <c r="D2" s="167" t="s">
        <v>5</v>
      </c>
      <c r="E2" s="193" t="s">
        <v>244</v>
      </c>
      <c r="F2" s="217" t="s">
        <v>4</v>
      </c>
      <c r="I2" t="s">
        <v>6</v>
      </c>
      <c r="J2" s="138" t="s">
        <v>7</v>
      </c>
    </row>
    <row r="3" spans="1:10" ht="14.25" x14ac:dyDescent="0.45">
      <c r="A3" s="24" t="s">
        <v>245</v>
      </c>
      <c r="B3" s="19"/>
      <c r="C3" s="19"/>
      <c r="D3" s="168"/>
      <c r="E3" s="272"/>
      <c r="F3" s="218"/>
    </row>
    <row r="4" spans="1:10" x14ac:dyDescent="0.35">
      <c r="A4" s="115" t="s">
        <v>246</v>
      </c>
      <c r="B4" s="19">
        <v>1200</v>
      </c>
    </row>
    <row r="5" spans="1:10" x14ac:dyDescent="0.35">
      <c r="A5" s="115" t="s">
        <v>247</v>
      </c>
      <c r="B5" s="19">
        <v>3200</v>
      </c>
      <c r="C5">
        <v>1825</v>
      </c>
      <c r="E5" s="62" t="s">
        <v>248</v>
      </c>
    </row>
    <row r="6" spans="1:10" x14ac:dyDescent="0.35">
      <c r="A6" s="115" t="s">
        <v>249</v>
      </c>
      <c r="B6" s="19">
        <v>5350</v>
      </c>
      <c r="C6">
        <v>5676</v>
      </c>
      <c r="E6" s="62" t="s">
        <v>248</v>
      </c>
    </row>
    <row r="7" spans="1:10" x14ac:dyDescent="0.35">
      <c r="A7" s="115" t="s">
        <v>250</v>
      </c>
      <c r="B7" s="19">
        <v>100</v>
      </c>
    </row>
    <row r="8" spans="1:10" ht="14.25" x14ac:dyDescent="0.45">
      <c r="A8" s="25" t="s">
        <v>251</v>
      </c>
      <c r="B8" s="26">
        <f>SUM(B3:B7)</f>
        <v>9850</v>
      </c>
    </row>
    <row r="9" spans="1:10" x14ac:dyDescent="0.35">
      <c r="A9" s="115"/>
      <c r="B9" s="18"/>
    </row>
    <row r="10" spans="1:10" ht="15" x14ac:dyDescent="0.4">
      <c r="G10" s="75">
        <f>SUM(G5:G9)</f>
        <v>0</v>
      </c>
    </row>
    <row r="27" spans="7:7" x14ac:dyDescent="0.35">
      <c r="G27">
        <f>SUM(G10,G12:G24)</f>
        <v>0</v>
      </c>
    </row>
    <row r="32" spans="7:7" hidden="1" x14ac:dyDescent="0.35"/>
    <row r="33" spans="2:9" hidden="1" x14ac:dyDescent="0.35"/>
    <row r="34" spans="2:9" hidden="1" x14ac:dyDescent="0.35"/>
    <row r="35" spans="2:9" hidden="1" x14ac:dyDescent="0.35"/>
    <row r="36" spans="2:9" hidden="1" x14ac:dyDescent="0.35"/>
    <row r="37" spans="2:9" hidden="1" x14ac:dyDescent="0.35"/>
    <row r="39" spans="2:9" ht="15" x14ac:dyDescent="0.4">
      <c r="G39" s="75">
        <f>SUM(G32:G37)</f>
        <v>0</v>
      </c>
    </row>
    <row r="43" spans="2:9" x14ac:dyDescent="0.35">
      <c r="B43" t="s">
        <v>55</v>
      </c>
      <c r="I43" t="s">
        <v>212</v>
      </c>
    </row>
    <row r="44" spans="2:9" x14ac:dyDescent="0.35">
      <c r="B44" t="s">
        <v>58</v>
      </c>
    </row>
    <row r="45" spans="2:9" x14ac:dyDescent="0.35">
      <c r="B45" t="s">
        <v>61</v>
      </c>
      <c r="D45" s="165">
        <v>0</v>
      </c>
      <c r="E45" s="62">
        <v>0</v>
      </c>
      <c r="F45" s="232">
        <v>0</v>
      </c>
      <c r="G45">
        <f>48000</f>
        <v>48000</v>
      </c>
    </row>
    <row r="46" spans="2:9" x14ac:dyDescent="0.35">
      <c r="B46" t="s">
        <v>213</v>
      </c>
      <c r="I46" t="s">
        <v>214</v>
      </c>
    </row>
    <row r="48" spans="2:9" x14ac:dyDescent="0.35">
      <c r="G48">
        <f>(1200*12)*1.1</f>
        <v>15840.000000000002</v>
      </c>
    </row>
    <row r="59" spans="1:7" x14ac:dyDescent="0.35">
      <c r="A59" s="355"/>
      <c r="B59" s="355"/>
    </row>
    <row r="60" spans="1:7" ht="15" x14ac:dyDescent="0.4">
      <c r="A60" s="355"/>
      <c r="B60" s="355"/>
      <c r="D60" s="227">
        <f>SUM(D61:D62)</f>
        <v>0</v>
      </c>
      <c r="E60" s="227">
        <f>SUM(E61:E62)</f>
        <v>0</v>
      </c>
      <c r="F60" s="227"/>
      <c r="G60" s="75">
        <f>SUM(G61:G62)</f>
        <v>0</v>
      </c>
    </row>
    <row r="63" spans="1:7" x14ac:dyDescent="0.35">
      <c r="A63" s="355"/>
      <c r="B63" s="355"/>
      <c r="D63" s="165">
        <f>SUM(D64:D66)</f>
        <v>0</v>
      </c>
      <c r="E63" s="165">
        <f>SUM(E64:E66)</f>
        <v>0</v>
      </c>
      <c r="G63">
        <f>SUM(G64:G66)</f>
        <v>0</v>
      </c>
    </row>
    <row r="67" spans="1:2" x14ac:dyDescent="0.35">
      <c r="A67" s="355"/>
      <c r="B67" s="355"/>
    </row>
    <row r="71" spans="1:2" x14ac:dyDescent="0.35">
      <c r="A71" s="355"/>
      <c r="B71" s="355"/>
    </row>
    <row r="81" spans="2:2" x14ac:dyDescent="0.35">
      <c r="B81" t="s">
        <v>110</v>
      </c>
    </row>
  </sheetData>
  <mergeCells count="5">
    <mergeCell ref="A59:B59"/>
    <mergeCell ref="A60:B60"/>
    <mergeCell ref="A63:B63"/>
    <mergeCell ref="A67:B67"/>
    <mergeCell ref="A71:B7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9B94-0BC0-40B2-8A5F-1EEFE398FB24}">
  <dimension ref="A1:J81"/>
  <sheetViews>
    <sheetView zoomScale="97" zoomScaleNormal="97" workbookViewId="0">
      <selection activeCell="E49" sqref="E49"/>
    </sheetView>
    <sheetView workbookViewId="1"/>
  </sheetViews>
  <sheetFormatPr defaultColWidth="8.86328125" defaultRowHeight="12.75" x14ac:dyDescent="0.35"/>
  <cols>
    <col min="1" max="1" width="28.73046875" customWidth="1"/>
    <col min="2" max="2" width="43.3984375" style="57" bestFit="1" customWidth="1"/>
    <col min="3" max="3" width="55.265625" customWidth="1"/>
    <col min="4" max="4" width="8.86328125" style="165"/>
    <col min="5" max="5" width="8.86328125" style="62"/>
    <col min="6" max="6" width="10.59765625" style="165" bestFit="1" customWidth="1"/>
    <col min="7" max="7" width="2" bestFit="1" customWidth="1"/>
    <col min="8" max="8" width="2.59765625" customWidth="1"/>
    <col min="9" max="9" width="98.73046875" customWidth="1"/>
    <col min="10" max="10" width="11" style="138" bestFit="1" customWidth="1"/>
  </cols>
  <sheetData>
    <row r="1" spans="1:10" ht="13.15" x14ac:dyDescent="0.4">
      <c r="A1" s="116" t="s">
        <v>252</v>
      </c>
      <c r="B1" s="117" t="s">
        <v>253</v>
      </c>
      <c r="C1" s="116" t="s">
        <v>169</v>
      </c>
      <c r="E1" s="62" t="s">
        <v>0</v>
      </c>
      <c r="F1" s="222">
        <v>46203</v>
      </c>
    </row>
    <row r="2" spans="1:10" x14ac:dyDescent="0.35">
      <c r="A2" s="54" t="s">
        <v>254</v>
      </c>
      <c r="B2" s="57">
        <v>30000</v>
      </c>
      <c r="C2" t="s">
        <v>255</v>
      </c>
      <c r="F2" s="165" t="s">
        <v>4</v>
      </c>
      <c r="I2" t="s">
        <v>6</v>
      </c>
      <c r="J2" s="138" t="s">
        <v>7</v>
      </c>
    </row>
    <row r="3" spans="1:10" x14ac:dyDescent="0.35">
      <c r="A3" t="s">
        <v>256</v>
      </c>
      <c r="B3" s="57">
        <v>10000</v>
      </c>
      <c r="C3" t="s">
        <v>257</v>
      </c>
    </row>
    <row r="4" spans="1:10" x14ac:dyDescent="0.35">
      <c r="A4" t="s">
        <v>240</v>
      </c>
      <c r="B4" s="57">
        <v>5350</v>
      </c>
      <c r="C4" t="s">
        <v>258</v>
      </c>
    </row>
    <row r="5" spans="1:10" x14ac:dyDescent="0.35">
      <c r="A5" t="s">
        <v>239</v>
      </c>
      <c r="B5" s="57">
        <v>3200</v>
      </c>
      <c r="C5" t="s">
        <v>258</v>
      </c>
    </row>
    <row r="6" spans="1:10" x14ac:dyDescent="0.35">
      <c r="A6" t="s">
        <v>259</v>
      </c>
      <c r="B6" s="57">
        <v>5000</v>
      </c>
      <c r="C6" t="s">
        <v>260</v>
      </c>
    </row>
    <row r="7" spans="1:10" x14ac:dyDescent="0.35">
      <c r="A7" t="s">
        <v>261</v>
      </c>
      <c r="B7" s="57">
        <v>4441</v>
      </c>
      <c r="C7" t="s">
        <v>262</v>
      </c>
    </row>
    <row r="8" spans="1:10" x14ac:dyDescent="0.35">
      <c r="A8" t="s">
        <v>263</v>
      </c>
      <c r="B8" s="57">
        <v>5000</v>
      </c>
      <c r="C8" t="s">
        <v>264</v>
      </c>
    </row>
    <row r="9" spans="1:10" x14ac:dyDescent="0.35">
      <c r="A9" t="s">
        <v>265</v>
      </c>
      <c r="B9" s="57">
        <v>30000</v>
      </c>
      <c r="C9" t="s">
        <v>264</v>
      </c>
    </row>
    <row r="10" spans="1:10" ht="15" x14ac:dyDescent="0.4">
      <c r="A10" s="56" t="s">
        <v>266</v>
      </c>
      <c r="B10" s="58" t="s">
        <v>180</v>
      </c>
      <c r="C10" t="s">
        <v>267</v>
      </c>
      <c r="G10" s="75">
        <f>SUM(G5:G9)</f>
        <v>0</v>
      </c>
    </row>
    <row r="11" spans="1:10" ht="13.15" x14ac:dyDescent="0.4">
      <c r="B11" s="118">
        <f>SUM(B2:B9)</f>
        <v>92991</v>
      </c>
      <c r="C11" s="119" t="s">
        <v>268</v>
      </c>
    </row>
    <row r="15" spans="1:10" ht="13.15" x14ac:dyDescent="0.4">
      <c r="A15" s="55" t="s">
        <v>269</v>
      </c>
    </row>
    <row r="16" spans="1:10" x14ac:dyDescent="0.35">
      <c r="A16" t="s">
        <v>207</v>
      </c>
      <c r="B16" s="57">
        <v>100000</v>
      </c>
      <c r="C16" t="s">
        <v>270</v>
      </c>
    </row>
    <row r="17" spans="1:7" x14ac:dyDescent="0.35">
      <c r="A17" t="s">
        <v>271</v>
      </c>
      <c r="B17" s="57" t="s">
        <v>180</v>
      </c>
      <c r="C17" t="s">
        <v>272</v>
      </c>
    </row>
    <row r="19" spans="1:7" x14ac:dyDescent="0.35">
      <c r="A19" t="s">
        <v>273</v>
      </c>
    </row>
    <row r="27" spans="1:7" x14ac:dyDescent="0.35">
      <c r="G27">
        <f>SUM(G10,G12:G24)</f>
        <v>0</v>
      </c>
    </row>
    <row r="32" spans="1:7" hidden="1" x14ac:dyDescent="0.35"/>
    <row r="33" spans="2:9" hidden="1" x14ac:dyDescent="0.35"/>
    <row r="34" spans="2:9" hidden="1" x14ac:dyDescent="0.35"/>
    <row r="35" spans="2:9" hidden="1" x14ac:dyDescent="0.35"/>
    <row r="36" spans="2:9" hidden="1" x14ac:dyDescent="0.35"/>
    <row r="37" spans="2:9" hidden="1" x14ac:dyDescent="0.35"/>
    <row r="39" spans="2:9" ht="15" x14ac:dyDescent="0.4">
      <c r="G39" s="75">
        <f>SUM(G32:G37)</f>
        <v>0</v>
      </c>
    </row>
    <row r="43" spans="2:9" x14ac:dyDescent="0.35">
      <c r="B43" s="57" t="s">
        <v>55</v>
      </c>
      <c r="I43" t="s">
        <v>212</v>
      </c>
    </row>
    <row r="44" spans="2:9" x14ac:dyDescent="0.35">
      <c r="B44" s="57" t="s">
        <v>58</v>
      </c>
    </row>
    <row r="45" spans="2:9" x14ac:dyDescent="0.35">
      <c r="B45" s="57" t="s">
        <v>61</v>
      </c>
      <c r="D45" s="165">
        <v>0</v>
      </c>
      <c r="E45" s="62">
        <v>0</v>
      </c>
      <c r="F45" s="232">
        <v>0</v>
      </c>
      <c r="G45">
        <f>48000</f>
        <v>48000</v>
      </c>
    </row>
    <row r="46" spans="2:9" x14ac:dyDescent="0.35">
      <c r="B46" s="57" t="s">
        <v>213</v>
      </c>
      <c r="I46" t="s">
        <v>214</v>
      </c>
    </row>
    <row r="48" spans="2:9" x14ac:dyDescent="0.35">
      <c r="G48">
        <f>(1200*12)*1.1</f>
        <v>15840.000000000002</v>
      </c>
    </row>
    <row r="59" spans="1:7" x14ac:dyDescent="0.35">
      <c r="A59" s="355"/>
      <c r="B59" s="355"/>
    </row>
    <row r="60" spans="1:7" ht="15" x14ac:dyDescent="0.4">
      <c r="A60" s="355"/>
      <c r="B60" s="355"/>
      <c r="D60" s="227">
        <f>SUM(D61:D62)</f>
        <v>0</v>
      </c>
      <c r="E60" s="227">
        <f>SUM(E61:E62)</f>
        <v>0</v>
      </c>
      <c r="F60" s="227"/>
      <c r="G60" s="75">
        <f>SUM(G61:G62)</f>
        <v>0</v>
      </c>
    </row>
    <row r="63" spans="1:7" x14ac:dyDescent="0.35">
      <c r="A63" s="355"/>
      <c r="B63" s="355"/>
      <c r="D63" s="165">
        <f>SUM(D64:D66)</f>
        <v>0</v>
      </c>
      <c r="E63" s="165">
        <f>SUM(E64:E66)</f>
        <v>0</v>
      </c>
      <c r="G63">
        <f>SUM(G64:G66)</f>
        <v>0</v>
      </c>
    </row>
    <row r="67" spans="1:2" x14ac:dyDescent="0.35">
      <c r="A67" s="355"/>
      <c r="B67" s="355"/>
    </row>
    <row r="71" spans="1:2" x14ac:dyDescent="0.35">
      <c r="A71" s="355"/>
      <c r="B71" s="355"/>
    </row>
    <row r="81" spans="2:2" x14ac:dyDescent="0.35">
      <c r="B81" s="57" t="s">
        <v>110</v>
      </c>
    </row>
  </sheetData>
  <mergeCells count="5">
    <mergeCell ref="A59:B59"/>
    <mergeCell ref="A60:B60"/>
    <mergeCell ref="A63:B63"/>
    <mergeCell ref="A67:B67"/>
    <mergeCell ref="A71:B7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759A-52D6-41ED-B6C7-60BD80F54A89}">
  <dimension ref="A1:J81"/>
  <sheetViews>
    <sheetView topLeftCell="A15" zoomScale="97" zoomScaleNormal="97" workbookViewId="0">
      <selection activeCell="E49" sqref="E49"/>
    </sheetView>
    <sheetView workbookViewId="1"/>
  </sheetViews>
  <sheetFormatPr defaultColWidth="8.86328125" defaultRowHeight="12.75" x14ac:dyDescent="0.35"/>
  <cols>
    <col min="1" max="1" width="16.265625" bestFit="1" customWidth="1"/>
    <col min="2" max="2" width="48" style="12" bestFit="1" customWidth="1"/>
    <col min="3" max="3" width="10.73046875" bestFit="1" customWidth="1"/>
    <col min="4" max="4" width="13.1328125" style="165" bestFit="1" customWidth="1"/>
    <col min="5" max="5" width="13.86328125" style="191" bestFit="1" customWidth="1"/>
    <col min="6" max="6" width="18" style="216" bestFit="1" customWidth="1"/>
    <col min="7" max="7" width="11" bestFit="1" customWidth="1"/>
    <col min="8" max="8" width="2.59765625" customWidth="1"/>
    <col min="9" max="9" width="98.73046875" customWidth="1"/>
    <col min="10" max="10" width="11" style="138" bestFit="1" customWidth="1"/>
  </cols>
  <sheetData>
    <row r="1" spans="1:10" ht="15.75" x14ac:dyDescent="0.5">
      <c r="A1" s="4" t="s">
        <v>274</v>
      </c>
      <c r="D1" s="161"/>
      <c r="E1" s="188" t="s">
        <v>0</v>
      </c>
      <c r="F1" s="221">
        <v>46203</v>
      </c>
    </row>
    <row r="2" spans="1:10" ht="33.75" customHeight="1" x14ac:dyDescent="0.35">
      <c r="A2" s="7" t="s">
        <v>275</v>
      </c>
      <c r="B2" s="13" t="s">
        <v>276</v>
      </c>
      <c r="C2" s="7" t="s">
        <v>277</v>
      </c>
      <c r="D2" s="162" t="s">
        <v>278</v>
      </c>
      <c r="E2" s="13" t="s">
        <v>279</v>
      </c>
      <c r="F2" s="215" t="s">
        <v>4</v>
      </c>
      <c r="G2" s="7" t="s">
        <v>280</v>
      </c>
      <c r="H2" s="8"/>
      <c r="I2" t="s">
        <v>6</v>
      </c>
      <c r="J2" s="138" t="s">
        <v>7</v>
      </c>
    </row>
    <row r="3" spans="1:10" ht="30.75" customHeight="1" x14ac:dyDescent="0.55000000000000004">
      <c r="A3" t="s">
        <v>281</v>
      </c>
      <c r="B3" s="12" t="s">
        <v>282</v>
      </c>
      <c r="D3" s="161"/>
      <c r="E3" s="188"/>
      <c r="F3" s="214"/>
      <c r="H3" s="9"/>
    </row>
    <row r="4" spans="1:10" ht="15.75" x14ac:dyDescent="0.5">
      <c r="A4" t="s">
        <v>281</v>
      </c>
      <c r="B4" s="12" t="s">
        <v>283</v>
      </c>
      <c r="D4" s="163">
        <v>5000</v>
      </c>
      <c r="E4" s="11" t="s">
        <v>284</v>
      </c>
      <c r="F4" s="163"/>
      <c r="G4" s="11"/>
      <c r="H4" s="10"/>
    </row>
    <row r="5" spans="1:10" x14ac:dyDescent="0.35">
      <c r="A5" t="s">
        <v>281</v>
      </c>
      <c r="B5" s="12" t="s">
        <v>285</v>
      </c>
      <c r="D5" s="161">
        <v>5000</v>
      </c>
      <c r="E5" s="189"/>
      <c r="F5" s="161"/>
      <c r="G5" s="5"/>
    </row>
    <row r="6" spans="1:10" x14ac:dyDescent="0.35">
      <c r="A6" t="s">
        <v>281</v>
      </c>
      <c r="B6" s="12" t="s">
        <v>286</v>
      </c>
      <c r="C6" s="5"/>
      <c r="D6" s="161">
        <v>0</v>
      </c>
      <c r="E6" s="189" t="s">
        <v>284</v>
      </c>
      <c r="F6" s="161"/>
      <c r="G6" s="5"/>
    </row>
    <row r="7" spans="1:10" x14ac:dyDescent="0.35">
      <c r="A7" t="s">
        <v>281</v>
      </c>
      <c r="B7" s="12" t="s">
        <v>287</v>
      </c>
      <c r="D7" s="161"/>
      <c r="E7" s="189"/>
      <c r="F7" s="161"/>
      <c r="G7" s="5"/>
    </row>
    <row r="8" spans="1:10" x14ac:dyDescent="0.35">
      <c r="A8" t="s">
        <v>281</v>
      </c>
      <c r="B8" s="12" t="s">
        <v>288</v>
      </c>
      <c r="D8" s="161"/>
      <c r="E8" s="189"/>
      <c r="F8" s="161"/>
      <c r="G8" s="5"/>
    </row>
    <row r="9" spans="1:10" x14ac:dyDescent="0.35">
      <c r="A9" t="s">
        <v>281</v>
      </c>
      <c r="B9" s="12" t="s">
        <v>289</v>
      </c>
      <c r="D9" s="161"/>
      <c r="E9" s="189"/>
      <c r="F9" s="161"/>
      <c r="G9" s="5"/>
    </row>
    <row r="10" spans="1:10" ht="15" x14ac:dyDescent="0.4">
      <c r="A10" t="s">
        <v>281</v>
      </c>
      <c r="B10" s="12" t="s">
        <v>290</v>
      </c>
      <c r="D10" s="161"/>
      <c r="E10" s="188"/>
      <c r="F10" s="214"/>
      <c r="G10" s="143">
        <f>SUM(G5:G9)</f>
        <v>0</v>
      </c>
    </row>
    <row r="11" spans="1:10" x14ac:dyDescent="0.35">
      <c r="A11" t="s">
        <v>281</v>
      </c>
      <c r="B11" s="12" t="s">
        <v>291</v>
      </c>
      <c r="D11" s="161"/>
      <c r="E11" s="188"/>
      <c r="F11" s="214"/>
    </row>
    <row r="12" spans="1:10" x14ac:dyDescent="0.35">
      <c r="A12" t="s">
        <v>281</v>
      </c>
      <c r="B12" s="12" t="s">
        <v>292</v>
      </c>
      <c r="D12" s="161"/>
      <c r="E12" s="188"/>
      <c r="F12" s="214"/>
    </row>
    <row r="13" spans="1:10" ht="15.75" x14ac:dyDescent="0.5">
      <c r="A13" s="4" t="s">
        <v>251</v>
      </c>
      <c r="D13" s="163">
        <f>SUM(D4:D8)</f>
        <v>10000</v>
      </c>
      <c r="E13" s="188"/>
      <c r="F13" s="214"/>
    </row>
    <row r="14" spans="1:10" ht="15.75" x14ac:dyDescent="0.5">
      <c r="A14" s="4"/>
      <c r="D14" s="161"/>
      <c r="E14" s="188"/>
      <c r="F14" s="214"/>
    </row>
    <row r="15" spans="1:10" ht="15.75" x14ac:dyDescent="0.5">
      <c r="A15" s="4" t="s">
        <v>293</v>
      </c>
      <c r="D15" s="161"/>
      <c r="E15" s="188"/>
      <c r="F15" s="214"/>
    </row>
    <row r="16" spans="1:10" ht="26.25" customHeight="1" x14ac:dyDescent="0.35">
      <c r="B16" s="59" t="s">
        <v>294</v>
      </c>
      <c r="D16" s="161">
        <v>0</v>
      </c>
      <c r="E16" s="188" t="s">
        <v>284</v>
      </c>
      <c r="F16" s="214"/>
    </row>
    <row r="17" spans="2:8" x14ac:dyDescent="0.35">
      <c r="B17" s="15" t="s">
        <v>295</v>
      </c>
      <c r="D17" s="161">
        <v>0</v>
      </c>
      <c r="E17" s="188"/>
      <c r="F17" s="214" t="s">
        <v>296</v>
      </c>
    </row>
    <row r="18" spans="2:8" x14ac:dyDescent="0.35">
      <c r="B18" s="12" t="s">
        <v>297</v>
      </c>
      <c r="D18" s="161">
        <v>0</v>
      </c>
      <c r="E18" s="188">
        <v>45713</v>
      </c>
      <c r="F18" s="214" t="s">
        <v>296</v>
      </c>
    </row>
    <row r="19" spans="2:8" x14ac:dyDescent="0.35">
      <c r="B19" s="12" t="s">
        <v>298</v>
      </c>
      <c r="D19" s="161">
        <v>0</v>
      </c>
      <c r="E19" s="188"/>
      <c r="F19" s="214"/>
    </row>
    <row r="20" spans="2:8" x14ac:dyDescent="0.35">
      <c r="B20" s="12" t="s">
        <v>15</v>
      </c>
      <c r="D20" s="161">
        <v>65000</v>
      </c>
      <c r="E20" s="188"/>
      <c r="F20" s="214"/>
    </row>
    <row r="21" spans="2:8" x14ac:dyDescent="0.35">
      <c r="B21" s="59" t="s">
        <v>299</v>
      </c>
      <c r="C21" s="6">
        <v>2021</v>
      </c>
      <c r="D21" s="161">
        <v>25000</v>
      </c>
      <c r="E21" s="188" t="s">
        <v>284</v>
      </c>
      <c r="F21" s="214"/>
      <c r="H21" t="s">
        <v>300</v>
      </c>
    </row>
    <row r="22" spans="2:8" x14ac:dyDescent="0.35">
      <c r="B22" s="12" t="s">
        <v>301</v>
      </c>
      <c r="D22" s="161">
        <v>0</v>
      </c>
      <c r="E22" s="188" t="s">
        <v>302</v>
      </c>
      <c r="F22" s="214"/>
    </row>
    <row r="23" spans="2:8" x14ac:dyDescent="0.35">
      <c r="B23" s="12" t="s">
        <v>303</v>
      </c>
      <c r="D23" s="161"/>
      <c r="E23" s="188" t="s">
        <v>304</v>
      </c>
      <c r="F23" s="214"/>
    </row>
    <row r="24" spans="2:8" ht="50.25" customHeight="1" x14ac:dyDescent="0.35">
      <c r="B24" s="59" t="s">
        <v>139</v>
      </c>
      <c r="D24" s="161">
        <v>75000</v>
      </c>
      <c r="E24" s="188" t="s">
        <v>305</v>
      </c>
      <c r="F24" s="214" t="s">
        <v>306</v>
      </c>
      <c r="H24" t="s">
        <v>307</v>
      </c>
    </row>
    <row r="25" spans="2:8" x14ac:dyDescent="0.35">
      <c r="B25" s="12" t="s">
        <v>308</v>
      </c>
      <c r="D25" s="161">
        <v>15910</v>
      </c>
      <c r="E25" s="188" t="s">
        <v>309</v>
      </c>
      <c r="F25" s="214"/>
      <c r="H25" t="s">
        <v>310</v>
      </c>
    </row>
    <row r="26" spans="2:8" x14ac:dyDescent="0.35">
      <c r="B26" s="120" t="s">
        <v>311</v>
      </c>
      <c r="D26" s="161"/>
      <c r="E26" s="188"/>
      <c r="F26" s="214"/>
    </row>
    <row r="27" spans="2:8" x14ac:dyDescent="0.35">
      <c r="B27" s="12" t="s">
        <v>312</v>
      </c>
      <c r="D27" s="161"/>
      <c r="E27" s="188"/>
      <c r="F27" s="214"/>
      <c r="G27">
        <f>SUM(G10,G12:G24)</f>
        <v>0</v>
      </c>
    </row>
    <row r="28" spans="2:8" ht="25.5" x14ac:dyDescent="0.35">
      <c r="B28" s="12" t="s">
        <v>313</v>
      </c>
      <c r="C28">
        <v>2025</v>
      </c>
      <c r="D28" s="164">
        <v>30000</v>
      </c>
      <c r="E28" s="188" t="s">
        <v>314</v>
      </c>
      <c r="F28" s="214" t="s">
        <v>315</v>
      </c>
      <c r="G28" s="14">
        <v>46174</v>
      </c>
    </row>
    <row r="29" spans="2:8" x14ac:dyDescent="0.35">
      <c r="B29" s="121" t="s">
        <v>316</v>
      </c>
      <c r="D29" s="161"/>
      <c r="E29" s="188"/>
      <c r="F29" s="214"/>
      <c r="G29" s="14"/>
    </row>
    <row r="30" spans="2:8" ht="66.75" customHeight="1" x14ac:dyDescent="0.35">
      <c r="B30" s="12" t="s">
        <v>317</v>
      </c>
      <c r="D30" s="161"/>
      <c r="E30" s="188"/>
      <c r="F30" s="214" t="s">
        <v>318</v>
      </c>
    </row>
    <row r="31" spans="2:8" ht="27" customHeight="1" x14ac:dyDescent="0.35">
      <c r="B31" s="59" t="s">
        <v>319</v>
      </c>
      <c r="D31" s="161"/>
      <c r="E31" s="188"/>
      <c r="F31" s="214"/>
      <c r="H31" t="s">
        <v>320</v>
      </c>
    </row>
    <row r="32" spans="2:8" hidden="1" x14ac:dyDescent="0.35">
      <c r="B32" s="12" t="s">
        <v>321</v>
      </c>
      <c r="D32" s="161"/>
      <c r="E32" s="190">
        <v>45717</v>
      </c>
      <c r="F32" s="214" t="s">
        <v>296</v>
      </c>
      <c r="H32" t="s">
        <v>322</v>
      </c>
    </row>
    <row r="33" spans="2:9" hidden="1" x14ac:dyDescent="0.35">
      <c r="B33" s="12" t="s">
        <v>323</v>
      </c>
      <c r="D33" s="161"/>
      <c r="E33" s="188"/>
      <c r="F33" s="214"/>
    </row>
    <row r="34" spans="2:9" hidden="1" x14ac:dyDescent="0.35">
      <c r="B34" s="12" t="s">
        <v>324</v>
      </c>
      <c r="D34" s="161"/>
      <c r="E34" s="188"/>
      <c r="F34" s="214"/>
    </row>
    <row r="35" spans="2:9" hidden="1" x14ac:dyDescent="0.35">
      <c r="B35" s="12" t="s">
        <v>325</v>
      </c>
      <c r="D35" s="161">
        <v>0</v>
      </c>
      <c r="E35" s="188"/>
      <c r="F35" s="214"/>
    </row>
    <row r="36" spans="2:9" hidden="1" x14ac:dyDescent="0.35">
      <c r="B36" s="12" t="s">
        <v>326</v>
      </c>
      <c r="D36" s="161">
        <v>0</v>
      </c>
      <c r="E36" s="188"/>
      <c r="F36" s="214" t="s">
        <v>296</v>
      </c>
    </row>
    <row r="37" spans="2:9" hidden="1" x14ac:dyDescent="0.35">
      <c r="B37" s="12" t="s">
        <v>327</v>
      </c>
      <c r="D37" s="161"/>
      <c r="E37" s="188"/>
      <c r="F37" s="214"/>
    </row>
    <row r="38" spans="2:9" x14ac:dyDescent="0.35">
      <c r="B38" s="59" t="s">
        <v>328</v>
      </c>
      <c r="D38" s="161">
        <v>0</v>
      </c>
      <c r="E38" s="188"/>
      <c r="F38" s="214"/>
      <c r="H38" t="s">
        <v>329</v>
      </c>
    </row>
    <row r="39" spans="2:9" ht="15" x14ac:dyDescent="0.4">
      <c r="D39" s="161"/>
      <c r="E39" s="188"/>
      <c r="F39" s="214"/>
      <c r="G39" s="75">
        <f>SUM(G32:G37)</f>
        <v>0</v>
      </c>
    </row>
    <row r="40" spans="2:9" ht="36" customHeight="1" x14ac:dyDescent="0.35">
      <c r="B40" s="12" t="s">
        <v>330</v>
      </c>
      <c r="D40" s="161"/>
      <c r="E40" s="188"/>
      <c r="F40" s="214"/>
    </row>
    <row r="41" spans="2:9" ht="15.75" x14ac:dyDescent="0.5">
      <c r="B41" s="16" t="s">
        <v>331</v>
      </c>
      <c r="D41" s="163">
        <f>SUM(D17:D40)</f>
        <v>210910</v>
      </c>
      <c r="E41" s="188"/>
      <c r="F41" s="214"/>
    </row>
    <row r="42" spans="2:9" ht="15.75" x14ac:dyDescent="0.5">
      <c r="B42" s="16" t="s">
        <v>332</v>
      </c>
      <c r="D42" s="161">
        <f>SUM(D41:D41)</f>
        <v>210910</v>
      </c>
      <c r="E42" s="188"/>
      <c r="F42" s="214"/>
    </row>
    <row r="43" spans="2:9" ht="15.75" x14ac:dyDescent="0.5">
      <c r="B43" s="16" t="s">
        <v>55</v>
      </c>
      <c r="I43" t="s">
        <v>212</v>
      </c>
    </row>
    <row r="44" spans="2:9" x14ac:dyDescent="0.35">
      <c r="B44" s="12" t="s">
        <v>58</v>
      </c>
    </row>
    <row r="45" spans="2:9" x14ac:dyDescent="0.35">
      <c r="B45" s="12" t="s">
        <v>61</v>
      </c>
      <c r="D45" s="165">
        <v>0</v>
      </c>
      <c r="E45" s="191">
        <v>0</v>
      </c>
      <c r="F45" s="231">
        <v>0</v>
      </c>
      <c r="G45">
        <f>48000</f>
        <v>48000</v>
      </c>
    </row>
    <row r="46" spans="2:9" x14ac:dyDescent="0.35">
      <c r="B46" s="12" t="s">
        <v>213</v>
      </c>
      <c r="I46" t="s">
        <v>214</v>
      </c>
    </row>
    <row r="48" spans="2:9" x14ac:dyDescent="0.35">
      <c r="G48">
        <f>(1200*12)*1.1</f>
        <v>15840.000000000002</v>
      </c>
    </row>
    <row r="59" spans="1:7" x14ac:dyDescent="0.35">
      <c r="A59" s="355"/>
      <c r="B59" s="355"/>
    </row>
    <row r="60" spans="1:7" ht="15" x14ac:dyDescent="0.4">
      <c r="A60" s="355"/>
      <c r="B60" s="355"/>
      <c r="D60" s="227">
        <f>SUM(D61:D62)</f>
        <v>0</v>
      </c>
      <c r="E60" s="227">
        <f>SUM(E61:E62)</f>
        <v>0</v>
      </c>
      <c r="F60" s="228"/>
      <c r="G60" s="75">
        <f>SUM(G61:G62)</f>
        <v>0</v>
      </c>
    </row>
    <row r="63" spans="1:7" x14ac:dyDescent="0.35">
      <c r="A63" s="355"/>
      <c r="B63" s="355"/>
      <c r="D63" s="165">
        <f>SUM(D64:D66)</f>
        <v>0</v>
      </c>
      <c r="E63" s="165">
        <f>SUM(E64:E66)</f>
        <v>0</v>
      </c>
      <c r="G63">
        <f>SUM(G64:G66)</f>
        <v>0</v>
      </c>
    </row>
    <row r="67" spans="1:2" x14ac:dyDescent="0.35">
      <c r="A67" s="355"/>
      <c r="B67" s="355"/>
    </row>
    <row r="71" spans="1:2" x14ac:dyDescent="0.35">
      <c r="A71" s="355"/>
      <c r="B71" s="355"/>
    </row>
    <row r="81" spans="2:2" x14ac:dyDescent="0.35">
      <c r="B81" s="12" t="s">
        <v>110</v>
      </c>
    </row>
  </sheetData>
  <mergeCells count="5">
    <mergeCell ref="A59:B59"/>
    <mergeCell ref="A60:B60"/>
    <mergeCell ref="A63:B63"/>
    <mergeCell ref="A67:B67"/>
    <mergeCell ref="A71:B71"/>
  </mergeCells>
  <printOptions gridLine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4ACF-29C0-4528-9698-F568C243AFE3}">
  <sheetPr>
    <pageSetUpPr fitToPage="1"/>
  </sheetPr>
  <dimension ref="A1:J81"/>
  <sheetViews>
    <sheetView topLeftCell="A13" zoomScale="97" zoomScaleNormal="97" workbookViewId="0">
      <selection activeCell="E49" sqref="E49"/>
    </sheetView>
    <sheetView workbookViewId="1"/>
  </sheetViews>
  <sheetFormatPr defaultColWidth="9.1328125" defaultRowHeight="20.25" x14ac:dyDescent="0.55000000000000004"/>
  <cols>
    <col min="1" max="1" width="14.3984375" style="1" customWidth="1"/>
    <col min="2" max="2" width="63.1328125" style="1" bestFit="1" customWidth="1"/>
    <col min="3" max="3" width="1.86328125" style="1" customWidth="1"/>
    <col min="4" max="4" width="15" style="154" bestFit="1" customWidth="1"/>
    <col min="5" max="5" width="6.86328125" style="1" customWidth="1"/>
    <col min="6" max="6" width="32.86328125" style="205" bestFit="1" customWidth="1"/>
    <col min="7" max="7" width="6.265625" style="1" bestFit="1" customWidth="1"/>
    <col min="8" max="8" width="2.59765625" style="1" customWidth="1"/>
    <col min="9" max="9" width="98.73046875" style="1" customWidth="1"/>
    <col min="10" max="10" width="17.265625" style="135" bestFit="1" customWidth="1"/>
    <col min="11" max="16384" width="9.1328125" style="1"/>
  </cols>
  <sheetData>
    <row r="1" spans="1:10" ht="80.25" customHeight="1" x14ac:dyDescent="0.55000000000000004">
      <c r="A1" s="3"/>
      <c r="D1" s="145"/>
      <c r="E1" s="1" t="s">
        <v>0</v>
      </c>
      <c r="F1" s="220">
        <v>46203</v>
      </c>
    </row>
    <row r="2" spans="1:10" ht="20.65" x14ac:dyDescent="0.6">
      <c r="A2" s="45" t="s">
        <v>333</v>
      </c>
      <c r="B2" s="46"/>
      <c r="D2" s="155" t="s">
        <v>334</v>
      </c>
      <c r="E2" s="186"/>
      <c r="F2" s="206" t="s">
        <v>4</v>
      </c>
      <c r="I2" s="1" t="s">
        <v>6</v>
      </c>
      <c r="J2" s="135" t="s">
        <v>7</v>
      </c>
    </row>
    <row r="3" spans="1:10" s="32" customFormat="1" ht="4.5" customHeight="1" x14ac:dyDescent="0.6">
      <c r="A3" s="47"/>
      <c r="B3" s="48"/>
      <c r="D3" s="147"/>
      <c r="E3" s="187"/>
      <c r="F3" s="207"/>
      <c r="J3" s="136"/>
    </row>
    <row r="4" spans="1:10" x14ac:dyDescent="0.55000000000000004">
      <c r="A4" s="50" t="s">
        <v>8</v>
      </c>
      <c r="B4" s="89"/>
      <c r="C4" s="73"/>
      <c r="D4" s="156"/>
      <c r="E4" s="122"/>
      <c r="F4" s="156"/>
      <c r="G4" s="122"/>
    </row>
    <row r="5" spans="1:10" x14ac:dyDescent="0.55000000000000004">
      <c r="A5" s="91"/>
      <c r="B5" s="92" t="s">
        <v>335</v>
      </c>
      <c r="C5" s="73"/>
      <c r="D5" s="156">
        <v>300000</v>
      </c>
      <c r="E5" s="122"/>
      <c r="F5" s="156" t="s">
        <v>20</v>
      </c>
      <c r="G5" s="122"/>
    </row>
    <row r="6" spans="1:10" s="33" customFormat="1" ht="7.5" customHeight="1" x14ac:dyDescent="0.55000000000000004">
      <c r="A6" s="94"/>
      <c r="B6" s="95"/>
      <c r="C6" s="122"/>
      <c r="D6" s="156"/>
      <c r="E6" s="122"/>
      <c r="F6" s="156"/>
      <c r="G6" s="122"/>
      <c r="J6" s="137"/>
    </row>
    <row r="7" spans="1:10" x14ac:dyDescent="0.55000000000000004">
      <c r="A7" s="98" t="s">
        <v>336</v>
      </c>
      <c r="B7" s="98" t="s">
        <v>22</v>
      </c>
      <c r="C7" s="100"/>
      <c r="D7" s="156">
        <v>3000</v>
      </c>
      <c r="E7" s="122"/>
      <c r="F7" s="156"/>
      <c r="G7" s="122"/>
    </row>
    <row r="8" spans="1:10" s="33" customFormat="1" ht="8.25" customHeight="1" x14ac:dyDescent="0.55000000000000004">
      <c r="A8" s="100"/>
      <c r="B8" s="101"/>
      <c r="C8" s="73"/>
      <c r="D8" s="156"/>
      <c r="E8" s="122"/>
      <c r="F8" s="156"/>
      <c r="G8" s="122"/>
      <c r="J8" s="137"/>
    </row>
    <row r="9" spans="1:10" x14ac:dyDescent="0.55000000000000004">
      <c r="A9" s="105" t="s">
        <v>337</v>
      </c>
      <c r="B9" s="105" t="s">
        <v>338</v>
      </c>
      <c r="C9" s="73"/>
      <c r="D9" s="156">
        <v>200000</v>
      </c>
      <c r="E9" s="122"/>
      <c r="F9" s="156" t="s">
        <v>339</v>
      </c>
      <c r="G9" s="122"/>
    </row>
    <row r="10" spans="1:10" x14ac:dyDescent="0.55000000000000004">
      <c r="A10" s="109"/>
      <c r="B10" s="110" t="s">
        <v>340</v>
      </c>
      <c r="C10" s="73"/>
      <c r="D10" s="156">
        <v>0</v>
      </c>
      <c r="E10" s="112"/>
      <c r="F10" s="208"/>
      <c r="G10" s="65">
        <f>SUM(G5:G9)</f>
        <v>0</v>
      </c>
    </row>
    <row r="11" spans="1:10" ht="31.15" x14ac:dyDescent="0.55000000000000004">
      <c r="A11" s="109"/>
      <c r="B11" s="110" t="s">
        <v>25</v>
      </c>
      <c r="C11" s="111"/>
      <c r="D11" s="156">
        <v>10000</v>
      </c>
      <c r="E11" s="112"/>
      <c r="F11" s="208" t="s">
        <v>26</v>
      </c>
    </row>
    <row r="12" spans="1:10" x14ac:dyDescent="0.55000000000000004">
      <c r="A12" s="73"/>
      <c r="B12" s="98" t="s">
        <v>27</v>
      </c>
      <c r="C12" s="73"/>
      <c r="D12" s="156">
        <v>210910</v>
      </c>
      <c r="E12" s="112"/>
      <c r="F12" s="208" t="s">
        <v>28</v>
      </c>
    </row>
    <row r="13" spans="1:10" x14ac:dyDescent="0.55000000000000004">
      <c r="A13" s="73"/>
      <c r="B13" s="73" t="s">
        <v>341</v>
      </c>
      <c r="C13" s="73"/>
      <c r="D13" s="156">
        <v>4800</v>
      </c>
      <c r="E13" s="112"/>
      <c r="F13" s="208" t="s">
        <v>342</v>
      </c>
    </row>
    <row r="14" spans="1:10" ht="31.15" x14ac:dyDescent="0.55000000000000004">
      <c r="A14" s="73"/>
      <c r="B14" s="73" t="s">
        <v>29</v>
      </c>
      <c r="C14" s="73"/>
      <c r="D14" s="156">
        <v>136000</v>
      </c>
      <c r="E14" s="104"/>
      <c r="F14" s="209" t="s">
        <v>30</v>
      </c>
      <c r="G14" s="33"/>
    </row>
    <row r="15" spans="1:10" x14ac:dyDescent="0.55000000000000004">
      <c r="A15" s="73"/>
      <c r="B15" s="73" t="s">
        <v>343</v>
      </c>
      <c r="C15" s="73"/>
      <c r="D15" s="156">
        <v>5000</v>
      </c>
      <c r="E15" s="104"/>
      <c r="F15" s="209"/>
      <c r="G15" s="33"/>
    </row>
    <row r="16" spans="1:10" x14ac:dyDescent="0.55000000000000004">
      <c r="A16" s="73"/>
      <c r="B16" s="73" t="s">
        <v>31</v>
      </c>
      <c r="C16" s="73"/>
      <c r="D16" s="156">
        <v>5000</v>
      </c>
      <c r="E16" s="104"/>
      <c r="F16" s="209"/>
      <c r="G16" s="33"/>
    </row>
    <row r="17" spans="1:10" s="33" customFormat="1" ht="8.25" customHeight="1" x14ac:dyDescent="0.55000000000000004">
      <c r="A17" s="100"/>
      <c r="B17" s="100" t="s">
        <v>113</v>
      </c>
      <c r="C17" s="100"/>
      <c r="D17" s="156"/>
      <c r="E17" s="104"/>
      <c r="F17" s="209"/>
      <c r="J17" s="137"/>
    </row>
    <row r="18" spans="1:10" x14ac:dyDescent="0.55000000000000004">
      <c r="A18" s="73" t="s">
        <v>149</v>
      </c>
      <c r="B18" s="73" t="s">
        <v>344</v>
      </c>
      <c r="C18" s="73"/>
      <c r="D18" s="156">
        <v>4000</v>
      </c>
      <c r="E18" s="104"/>
      <c r="F18" s="209"/>
      <c r="G18" s="33"/>
    </row>
    <row r="19" spans="1:10" x14ac:dyDescent="0.55000000000000004">
      <c r="A19" s="73"/>
      <c r="B19" s="73" t="s">
        <v>345</v>
      </c>
      <c r="C19" s="73"/>
      <c r="D19" s="156">
        <v>5000</v>
      </c>
      <c r="E19" s="104"/>
      <c r="F19" s="209"/>
      <c r="G19" s="33"/>
    </row>
    <row r="20" spans="1:10" s="33" customFormat="1" ht="5.25" customHeight="1" x14ac:dyDescent="0.55000000000000004">
      <c r="A20" s="100"/>
      <c r="B20" s="100"/>
      <c r="C20" s="100"/>
      <c r="D20" s="156"/>
      <c r="E20" s="104"/>
      <c r="F20" s="209"/>
      <c r="J20" s="137"/>
    </row>
    <row r="21" spans="1:10" ht="19.5" customHeight="1" x14ac:dyDescent="0.55000000000000004">
      <c r="A21" s="100"/>
      <c r="B21" s="51" t="s">
        <v>346</v>
      </c>
      <c r="C21" s="73"/>
      <c r="D21" s="156">
        <f>SUM(D7:D19)</f>
        <v>583710</v>
      </c>
      <c r="E21" s="104"/>
      <c r="F21" s="209"/>
      <c r="G21" s="33"/>
    </row>
    <row r="22" spans="1:10" s="33" customFormat="1" ht="6.75" customHeight="1" x14ac:dyDescent="0.55000000000000004">
      <c r="A22" s="100"/>
      <c r="B22" s="100"/>
      <c r="C22" s="100"/>
      <c r="D22" s="156"/>
      <c r="E22" s="104"/>
      <c r="F22" s="209"/>
      <c r="J22" s="137"/>
    </row>
    <row r="23" spans="1:10" x14ac:dyDescent="0.55000000000000004">
      <c r="A23" s="73"/>
      <c r="B23" s="51" t="s">
        <v>347</v>
      </c>
      <c r="C23" s="73"/>
      <c r="D23" s="156">
        <f>SUM(D5+D21)</f>
        <v>883710</v>
      </c>
      <c r="E23" s="104"/>
      <c r="F23" s="209"/>
      <c r="G23" s="33"/>
    </row>
    <row r="24" spans="1:10" x14ac:dyDescent="0.55000000000000004">
      <c r="A24" s="73"/>
      <c r="B24" s="73"/>
      <c r="C24" s="73"/>
      <c r="D24" s="156"/>
      <c r="E24" s="104"/>
      <c r="F24" s="209"/>
      <c r="G24" s="33"/>
    </row>
    <row r="25" spans="1:10" x14ac:dyDescent="0.55000000000000004">
      <c r="A25" s="52" t="s">
        <v>35</v>
      </c>
      <c r="B25" s="73"/>
      <c r="C25" s="73"/>
      <c r="D25" s="156"/>
      <c r="E25" s="112"/>
      <c r="F25" s="208"/>
    </row>
    <row r="26" spans="1:10" x14ac:dyDescent="0.55000000000000004">
      <c r="A26" s="73"/>
      <c r="B26" s="73" t="s">
        <v>37</v>
      </c>
      <c r="C26" s="73"/>
      <c r="D26" s="156">
        <f>'Payroll--Confidential'!C10</f>
        <v>177618</v>
      </c>
      <c r="E26" s="112"/>
      <c r="F26" s="208" t="s">
        <v>38</v>
      </c>
    </row>
    <row r="27" spans="1:10" x14ac:dyDescent="0.55000000000000004">
      <c r="A27" s="73"/>
      <c r="B27" s="73" t="s">
        <v>39</v>
      </c>
      <c r="C27" s="73"/>
      <c r="D27" s="156">
        <f>'Payroll--Confidential'!D10</f>
        <v>17881.8</v>
      </c>
      <c r="E27" s="112"/>
      <c r="F27" s="208"/>
      <c r="G27" s="1">
        <f>SUM(G10,G12:G24)</f>
        <v>0</v>
      </c>
    </row>
    <row r="28" spans="1:10" ht="31.15" x14ac:dyDescent="0.55000000000000004">
      <c r="A28" s="73"/>
      <c r="B28" s="73" t="s">
        <v>40</v>
      </c>
      <c r="C28" s="73"/>
      <c r="D28" s="156">
        <f>'Payroll--Confidential'!F10</f>
        <v>36000</v>
      </c>
      <c r="E28" s="112"/>
      <c r="F28" s="208" t="s">
        <v>41</v>
      </c>
    </row>
    <row r="29" spans="1:10" x14ac:dyDescent="0.55000000000000004">
      <c r="A29" s="73"/>
      <c r="B29" s="73" t="s">
        <v>42</v>
      </c>
      <c r="C29" s="73"/>
      <c r="D29" s="156">
        <v>1550</v>
      </c>
      <c r="E29" s="112"/>
      <c r="F29" s="208" t="s">
        <v>43</v>
      </c>
    </row>
    <row r="30" spans="1:10" x14ac:dyDescent="0.55000000000000004">
      <c r="A30" s="73"/>
      <c r="B30" s="73" t="s">
        <v>44</v>
      </c>
      <c r="C30" s="73"/>
      <c r="D30" s="156">
        <f>'Payroll--Confidential'!E10</f>
        <v>16981.8</v>
      </c>
      <c r="E30" s="112"/>
      <c r="F30" s="210" t="s">
        <v>45</v>
      </c>
    </row>
    <row r="31" spans="1:10" x14ac:dyDescent="0.55000000000000004">
      <c r="A31" s="73"/>
      <c r="B31" s="73" t="s">
        <v>46</v>
      </c>
      <c r="C31" s="73"/>
      <c r="D31" s="156">
        <v>1200</v>
      </c>
      <c r="E31" s="112"/>
      <c r="F31" s="208" t="s">
        <v>48</v>
      </c>
    </row>
    <row r="32" spans="1:10" s="33" customFormat="1" ht="6.75" hidden="1" customHeight="1" x14ac:dyDescent="0.55000000000000004">
      <c r="A32" s="100"/>
      <c r="B32" s="100"/>
      <c r="C32" s="100"/>
      <c r="D32" s="156"/>
      <c r="E32" s="104"/>
      <c r="F32" s="209"/>
      <c r="J32" s="137"/>
    </row>
    <row r="33" spans="1:10" hidden="1" x14ac:dyDescent="0.55000000000000004">
      <c r="A33" s="73" t="s">
        <v>348</v>
      </c>
      <c r="B33" s="73"/>
      <c r="C33" s="73"/>
      <c r="D33" s="156">
        <f>SUM(D26:D31)</f>
        <v>251231.59999999998</v>
      </c>
      <c r="E33" s="112"/>
      <c r="F33" s="208"/>
    </row>
    <row r="34" spans="1:10" s="33" customFormat="1" ht="8.25" hidden="1" customHeight="1" x14ac:dyDescent="0.55000000000000004">
      <c r="A34" s="100"/>
      <c r="B34" s="100"/>
      <c r="C34" s="100"/>
      <c r="D34" s="156"/>
      <c r="E34" s="104"/>
      <c r="F34" s="209"/>
      <c r="J34" s="137"/>
    </row>
    <row r="35" spans="1:10" hidden="1" x14ac:dyDescent="0.55000000000000004">
      <c r="A35" s="73"/>
      <c r="B35" s="73" t="s">
        <v>51</v>
      </c>
      <c r="C35" s="73"/>
      <c r="D35" s="156">
        <v>20000</v>
      </c>
      <c r="E35" s="112"/>
      <c r="F35" s="208" t="s">
        <v>52</v>
      </c>
    </row>
    <row r="36" spans="1:10" ht="31.15" hidden="1" x14ac:dyDescent="0.55000000000000004">
      <c r="A36" s="73"/>
      <c r="B36" s="73" t="s">
        <v>53</v>
      </c>
      <c r="C36" s="73"/>
      <c r="D36" s="156">
        <v>10000</v>
      </c>
      <c r="E36" s="112"/>
      <c r="F36" s="208" t="s">
        <v>54</v>
      </c>
    </row>
    <row r="37" spans="1:10" hidden="1" x14ac:dyDescent="0.55000000000000004">
      <c r="A37" s="73"/>
      <c r="B37" s="73" t="s">
        <v>349</v>
      </c>
      <c r="C37" s="73"/>
      <c r="D37" s="156">
        <v>30000</v>
      </c>
      <c r="E37" s="112"/>
      <c r="F37" s="208" t="s">
        <v>87</v>
      </c>
    </row>
    <row r="38" spans="1:10" x14ac:dyDescent="0.55000000000000004">
      <c r="A38" s="73"/>
      <c r="B38" s="123" t="s">
        <v>350</v>
      </c>
      <c r="C38" s="73"/>
      <c r="D38" s="156">
        <v>5000</v>
      </c>
      <c r="E38" s="112"/>
      <c r="F38" s="208" t="s">
        <v>93</v>
      </c>
    </row>
    <row r="39" spans="1:10" ht="31.15" x14ac:dyDescent="0.55000000000000004">
      <c r="A39" s="73"/>
      <c r="B39" s="73"/>
      <c r="C39" s="73"/>
      <c r="D39" s="156">
        <v>25910</v>
      </c>
      <c r="E39" s="112"/>
      <c r="F39" s="208" t="s">
        <v>98</v>
      </c>
      <c r="G39" s="75">
        <f>SUM(G32:G37)</f>
        <v>0</v>
      </c>
    </row>
    <row r="40" spans="1:10" x14ac:dyDescent="0.55000000000000004">
      <c r="A40" s="73"/>
      <c r="B40" s="73" t="s">
        <v>101</v>
      </c>
      <c r="C40" s="73"/>
      <c r="D40" s="156">
        <v>17500</v>
      </c>
      <c r="E40" s="112"/>
      <c r="F40" s="208" t="s">
        <v>102</v>
      </c>
      <c r="G40" s="60"/>
    </row>
    <row r="41" spans="1:10" ht="31.15" x14ac:dyDescent="0.55000000000000004">
      <c r="A41" s="73"/>
      <c r="B41" s="73" t="s">
        <v>351</v>
      </c>
      <c r="C41" s="73"/>
      <c r="D41" s="156">
        <v>25000</v>
      </c>
      <c r="E41" s="112"/>
      <c r="F41" s="208" t="s">
        <v>352</v>
      </c>
      <c r="G41" s="60"/>
    </row>
    <row r="42" spans="1:10" x14ac:dyDescent="0.55000000000000004">
      <c r="A42" s="73"/>
      <c r="B42" s="73" t="s">
        <v>353</v>
      </c>
      <c r="C42" s="73"/>
      <c r="D42" s="156">
        <v>0</v>
      </c>
      <c r="E42" s="112"/>
      <c r="F42" s="208" t="s">
        <v>23</v>
      </c>
    </row>
    <row r="43" spans="1:10" x14ac:dyDescent="0.55000000000000004">
      <c r="B43" s="60" t="s">
        <v>55</v>
      </c>
      <c r="I43" s="1" t="s">
        <v>212</v>
      </c>
    </row>
    <row r="44" spans="1:10" x14ac:dyDescent="0.55000000000000004">
      <c r="B44" s="1" t="s">
        <v>58</v>
      </c>
    </row>
    <row r="45" spans="1:10" x14ac:dyDescent="0.55000000000000004">
      <c r="B45" s="1" t="s">
        <v>61</v>
      </c>
      <c r="D45" s="154">
        <v>0</v>
      </c>
      <c r="E45" s="1">
        <v>0</v>
      </c>
      <c r="F45" s="230">
        <v>0</v>
      </c>
      <c r="G45" s="1">
        <f>48000</f>
        <v>48000</v>
      </c>
    </row>
    <row r="46" spans="1:10" x14ac:dyDescent="0.55000000000000004">
      <c r="B46" s="1" t="s">
        <v>213</v>
      </c>
      <c r="I46" s="1" t="s">
        <v>214</v>
      </c>
    </row>
    <row r="48" spans="1:10" x14ac:dyDescent="0.55000000000000004">
      <c r="G48" s="1">
        <f>(1200*12)*1.1</f>
        <v>15840.000000000002</v>
      </c>
    </row>
    <row r="59" spans="1:7" x14ac:dyDescent="0.55000000000000004">
      <c r="A59" s="357" t="s">
        <v>354</v>
      </c>
      <c r="B59" s="358"/>
      <c r="C59" s="73"/>
      <c r="D59" s="156">
        <v>0</v>
      </c>
      <c r="E59" s="112"/>
      <c r="F59" s="208" t="s">
        <v>23</v>
      </c>
    </row>
    <row r="60" spans="1:7" x14ac:dyDescent="0.55000000000000004">
      <c r="A60" s="357" t="s">
        <v>355</v>
      </c>
      <c r="B60" s="358"/>
      <c r="C60" s="73"/>
      <c r="D60" s="225">
        <f>SUM(D61:D62)</f>
        <v>23000</v>
      </c>
      <c r="E60" s="225">
        <f>SUM(E61:E62)</f>
        <v>0</v>
      </c>
      <c r="F60" s="226" t="s">
        <v>60</v>
      </c>
      <c r="G60" s="75">
        <f>SUM(G61:G62)</f>
        <v>0</v>
      </c>
    </row>
    <row r="61" spans="1:7" x14ac:dyDescent="0.55000000000000004">
      <c r="A61" s="73"/>
      <c r="B61" s="73" t="s">
        <v>356</v>
      </c>
      <c r="C61" s="73"/>
      <c r="D61" s="156">
        <v>13000</v>
      </c>
      <c r="E61" s="112"/>
      <c r="F61" s="208" t="s">
        <v>60</v>
      </c>
    </row>
    <row r="62" spans="1:7" ht="46.15" x14ac:dyDescent="0.55000000000000004">
      <c r="A62" s="73"/>
      <c r="B62" s="73" t="s">
        <v>213</v>
      </c>
      <c r="C62" s="73"/>
      <c r="D62" s="156">
        <v>10000</v>
      </c>
      <c r="E62" s="112"/>
      <c r="F62" s="208" t="s">
        <v>357</v>
      </c>
    </row>
    <row r="63" spans="1:7" x14ac:dyDescent="0.55000000000000004">
      <c r="A63" s="357" t="s">
        <v>358</v>
      </c>
      <c r="B63" s="358"/>
      <c r="C63" s="73"/>
      <c r="D63" s="156">
        <f>SUM(D64:D66)</f>
        <v>15500</v>
      </c>
      <c r="E63" s="156">
        <f>SUM(E64:E66)</f>
        <v>0</v>
      </c>
      <c r="F63" s="208"/>
      <c r="G63" s="1">
        <f>SUM(G64:G66)</f>
        <v>0</v>
      </c>
    </row>
    <row r="64" spans="1:7" x14ac:dyDescent="0.55000000000000004">
      <c r="A64" s="73"/>
      <c r="B64" s="73" t="s">
        <v>64</v>
      </c>
      <c r="C64" s="73"/>
      <c r="D64" s="156">
        <v>2000</v>
      </c>
      <c r="E64" s="112"/>
      <c r="F64" s="208"/>
    </row>
    <row r="65" spans="1:10" x14ac:dyDescent="0.55000000000000004">
      <c r="A65" s="73"/>
      <c r="B65" s="73" t="s">
        <v>359</v>
      </c>
      <c r="C65" s="73"/>
      <c r="D65" s="156">
        <v>12000</v>
      </c>
      <c r="E65" s="112"/>
      <c r="F65" s="208" t="s">
        <v>63</v>
      </c>
    </row>
    <row r="66" spans="1:10" x14ac:dyDescent="0.55000000000000004">
      <c r="A66" s="73"/>
      <c r="B66" s="73" t="s">
        <v>65</v>
      </c>
      <c r="C66" s="73"/>
      <c r="D66" s="156">
        <v>1500</v>
      </c>
      <c r="E66" s="112"/>
      <c r="F66" s="208" t="s">
        <v>67</v>
      </c>
    </row>
    <row r="67" spans="1:10" x14ac:dyDescent="0.55000000000000004">
      <c r="A67" s="357" t="s">
        <v>68</v>
      </c>
      <c r="B67" s="358"/>
      <c r="C67" s="73"/>
      <c r="D67" s="156">
        <v>500</v>
      </c>
      <c r="E67" s="112"/>
      <c r="F67" s="208" t="s">
        <v>67</v>
      </c>
    </row>
    <row r="68" spans="1:10" x14ac:dyDescent="0.55000000000000004">
      <c r="A68" s="73"/>
      <c r="B68" s="73" t="s">
        <v>69</v>
      </c>
      <c r="C68" s="73"/>
      <c r="D68" s="156">
        <v>1000</v>
      </c>
      <c r="E68" s="112"/>
      <c r="F68" s="208"/>
    </row>
    <row r="69" spans="1:10" x14ac:dyDescent="0.55000000000000004">
      <c r="A69" s="73"/>
      <c r="B69" s="73" t="s">
        <v>70</v>
      </c>
      <c r="C69" s="73"/>
      <c r="D69" s="156">
        <v>11000</v>
      </c>
      <c r="E69" s="112"/>
      <c r="F69" s="208"/>
    </row>
    <row r="70" spans="1:10" x14ac:dyDescent="0.55000000000000004">
      <c r="A70" s="73"/>
      <c r="B70" s="73" t="s">
        <v>360</v>
      </c>
      <c r="C70" s="73"/>
      <c r="D70" s="156">
        <f>'Dues &amp; Subscriptions'!C17</f>
        <v>12781</v>
      </c>
      <c r="E70" s="112"/>
      <c r="F70" s="208" t="s">
        <v>28</v>
      </c>
    </row>
    <row r="71" spans="1:10" x14ac:dyDescent="0.55000000000000004">
      <c r="A71" s="357" t="s">
        <v>361</v>
      </c>
      <c r="B71" s="358"/>
      <c r="C71" s="73"/>
      <c r="D71" s="156">
        <v>18000</v>
      </c>
      <c r="E71" s="112"/>
      <c r="F71" s="208" t="s">
        <v>362</v>
      </c>
    </row>
    <row r="72" spans="1:10" x14ac:dyDescent="0.55000000000000004">
      <c r="A72" s="73"/>
      <c r="B72" s="73" t="s">
        <v>363</v>
      </c>
      <c r="C72" s="73"/>
      <c r="D72" s="156">
        <f>'Administrative Expenses'!B8</f>
        <v>9850</v>
      </c>
      <c r="E72" s="112"/>
      <c r="F72" s="208" t="s">
        <v>28</v>
      </c>
    </row>
    <row r="73" spans="1:10" ht="31.15" x14ac:dyDescent="0.55000000000000004">
      <c r="A73" s="73"/>
      <c r="B73" s="73" t="s">
        <v>75</v>
      </c>
      <c r="C73" s="73"/>
      <c r="D73" s="156">
        <v>21400</v>
      </c>
      <c r="E73" s="112"/>
      <c r="F73" s="208" t="s">
        <v>77</v>
      </c>
    </row>
    <row r="74" spans="1:10" x14ac:dyDescent="0.55000000000000004">
      <c r="A74" s="73"/>
      <c r="B74" s="73" t="s">
        <v>78</v>
      </c>
      <c r="C74" s="73"/>
      <c r="D74" s="156">
        <v>1000</v>
      </c>
      <c r="E74" s="112"/>
      <c r="F74" s="208" t="s">
        <v>80</v>
      </c>
    </row>
    <row r="75" spans="1:10" x14ac:dyDescent="0.55000000000000004">
      <c r="A75" s="357" t="s">
        <v>364</v>
      </c>
      <c r="B75" s="358"/>
      <c r="C75" s="73"/>
      <c r="D75" s="157">
        <f>SUM(D35:D74)</f>
        <v>285941</v>
      </c>
      <c r="E75" s="112"/>
      <c r="F75" s="208"/>
    </row>
    <row r="76" spans="1:10" s="33" customFormat="1" ht="6" customHeight="1" x14ac:dyDescent="0.55000000000000004">
      <c r="A76" s="100"/>
      <c r="B76" s="100"/>
      <c r="C76" s="100"/>
      <c r="D76" s="158"/>
      <c r="E76" s="104"/>
      <c r="F76" s="209"/>
      <c r="J76" s="137"/>
    </row>
    <row r="77" spans="1:10" x14ac:dyDescent="0.55000000000000004">
      <c r="A77" s="359" t="s">
        <v>365</v>
      </c>
      <c r="B77" s="360"/>
      <c r="C77" s="89"/>
      <c r="D77" s="159" t="e">
        <f>SUM(D21-#REF!)</f>
        <v>#REF!</v>
      </c>
      <c r="E77" s="113"/>
      <c r="F77" s="211"/>
    </row>
    <row r="78" spans="1:10" s="33" customFormat="1" ht="7.5" customHeight="1" x14ac:dyDescent="0.55000000000000004">
      <c r="A78" s="91"/>
      <c r="B78" s="91"/>
      <c r="C78" s="91"/>
      <c r="D78" s="160"/>
      <c r="E78" s="93"/>
      <c r="F78" s="212"/>
      <c r="J78" s="137"/>
    </row>
    <row r="79" spans="1:10" ht="16.5" customHeight="1" x14ac:dyDescent="0.55000000000000004">
      <c r="A79" s="107"/>
      <c r="B79" s="53" t="s">
        <v>366</v>
      </c>
      <c r="C79" s="107"/>
      <c r="D79" s="153" t="e">
        <f>(D5+D9+D77)</f>
        <v>#REF!</v>
      </c>
      <c r="E79" s="107"/>
      <c r="F79" s="213"/>
    </row>
    <row r="81" spans="2:2" x14ac:dyDescent="0.55000000000000004">
      <c r="B81" s="1" t="s">
        <v>110</v>
      </c>
    </row>
  </sheetData>
  <mergeCells count="7">
    <mergeCell ref="A75:B75"/>
    <mergeCell ref="A77:B77"/>
    <mergeCell ref="A59:B59"/>
    <mergeCell ref="A60:B60"/>
    <mergeCell ref="A63:B63"/>
    <mergeCell ref="A67:B67"/>
    <mergeCell ref="A71:B71"/>
  </mergeCells>
  <phoneticPr fontId="0" type="noConversion"/>
  <printOptions horizontalCentered="1"/>
  <pageMargins left="0.5" right="0.5" top="0.81" bottom="0.74" header="0.25" footer="0.32"/>
  <pageSetup scale="54" orientation="portrait" r:id="rId1"/>
  <headerFooter alignWithMargins="0">
    <oddHeader xml:space="preserve">&amp;R
</oddHeader>
    <oddFooter>&amp;CPage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38639b-2eaa-41e8-a2b1-56f5cf408a0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2461F56A069149A2AA280CF380D30B" ma:contentTypeVersion="10" ma:contentTypeDescription="Create a new document." ma:contentTypeScope="" ma:versionID="e893fc4745fe35a21b798d66219a82c2">
  <xsd:schema xmlns:xsd="http://www.w3.org/2001/XMLSchema" xmlns:xs="http://www.w3.org/2001/XMLSchema" xmlns:p="http://schemas.microsoft.com/office/2006/metadata/properties" xmlns:ns2="6e38639b-2eaa-41e8-a2b1-56f5cf408a03" targetNamespace="http://schemas.microsoft.com/office/2006/metadata/properties" ma:root="true" ma:fieldsID="18c66917e23cc69fdcfcf0c22e839652" ns2:_="">
    <xsd:import namespace="6e38639b-2eaa-41e8-a2b1-56f5cf408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8639b-2eaa-41e8-a2b1-56f5cf408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2dd9a6-8483-4555-a8f4-00fbe5822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FD0EC5-0648-4B64-8236-7370363262CB}">
  <ds:schemaRefs>
    <ds:schemaRef ds:uri="http://schemas.microsoft.com/office/2006/metadata/properties"/>
    <ds:schemaRef ds:uri="http://schemas.microsoft.com/office/infopath/2007/PartnerControls"/>
    <ds:schemaRef ds:uri="6e38639b-2eaa-41e8-a2b1-56f5cf408a03"/>
  </ds:schemaRefs>
</ds:datastoreItem>
</file>

<file path=customXml/itemProps2.xml><?xml version="1.0" encoding="utf-8"?>
<ds:datastoreItem xmlns:ds="http://schemas.openxmlformats.org/officeDocument/2006/customXml" ds:itemID="{BE3852C6-B350-4242-BE3F-07C9419E04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D6EAE1-E9BE-45E1-AECF-6AE8ADE643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38639b-2eaa-41e8-a2b1-56f5cf408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FY27 Budget DRAFT</vt:lpstr>
      <vt:lpstr>Budget and Income by Program</vt:lpstr>
      <vt:lpstr>Payroll</vt:lpstr>
      <vt:lpstr>Payroll--Confidential</vt:lpstr>
      <vt:lpstr>Private Foundations Matrix</vt:lpstr>
      <vt:lpstr>Dues &amp; Subscriptions</vt:lpstr>
      <vt:lpstr>Administrative Expenses</vt:lpstr>
      <vt:lpstr>Est Closing Costs</vt:lpstr>
      <vt:lpstr>Private Foundations - FY26</vt:lpstr>
      <vt:lpstr>FY26 Budget FINAL No NEH</vt:lpstr>
      <vt:lpstr>'FY26 Budget FINAL No NEH'!Print_Area</vt:lpstr>
      <vt:lpstr>'FY27 Budget DRAFT'!Print_Area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 Profit Center Annual Budget Template</dc:title>
  <dc:subject/>
  <dc:creator>Denise Sayer</dc:creator>
  <cp:keywords/>
  <dc:description/>
  <cp:lastModifiedBy>Windell, Simon</cp:lastModifiedBy>
  <cp:revision/>
  <dcterms:created xsi:type="dcterms:W3CDTF">2004-09-23T17:38:34Z</dcterms:created>
  <dcterms:modified xsi:type="dcterms:W3CDTF">2026-09-07T22:19:45Z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DownloadAsset.aspx?id=2147483823</vt:lpwstr>
  </property>
  <property fmtid="{D5CDD505-2E9C-101B-9397-08002B2CF9AE}" pid="4" name="EktContentType">
    <vt:i4>101</vt:i4>
  </property>
  <property fmtid="{D5CDD505-2E9C-101B-9397-08002B2CF9AE}" pid="5" name="EktFolderName">
    <vt:lpwstr/>
  </property>
  <property fmtid="{D5CDD505-2E9C-101B-9397-08002B2CF9AE}" pid="6" name="EktCmsPath">
    <vt:lpwstr>&amp;lt;p&amp;gt;No Formulas  With Formulas  EXPENSES  TOTAL INCOME  Utilities  Printing  Postage  Office Supplies  Childcare Supplies  Food  Taxes/Licenses  Miscellaneous  Dues &amp;amp;amp; Subscriptions  TOTAL EXPENSES  Subtotal Personnel      Parents Pay      Registration/Holding  Childcare Fees:  Payroll  Payroll Taxes  Transportation  Insura&amp;lt;/p&amp;gt;</vt:lpwstr>
  </property>
  <property fmtid="{D5CDD505-2E9C-101B-9397-08002B2CF9AE}" pid="7" name="EktExpiryType">
    <vt:i4>1</vt:i4>
  </property>
  <property fmtid="{D5CDD505-2E9C-101B-9397-08002B2CF9AE}" pid="8" name="EktDateCreated">
    <vt:filetime>2010-03-04T21:35:46Z</vt:filetime>
  </property>
  <property fmtid="{D5CDD505-2E9C-101B-9397-08002B2CF9AE}" pid="9" name="EktDateModified">
    <vt:filetime>2010-03-04T21:35:47Z</vt:filetime>
  </property>
  <property fmtid="{D5CDD505-2E9C-101B-9397-08002B2CF9AE}" pid="10" name="EktTaxCategory">
    <vt:lpwstr/>
  </property>
  <property fmtid="{D5CDD505-2E9C-101B-9397-08002B2CF9AE}" pid="11" name="EktCmsSize">
    <vt:i4>41984</vt:i4>
  </property>
  <property fmtid="{D5CDD505-2E9C-101B-9397-08002B2CF9AE}" pid="12" name="EktSearchable">
    <vt:i4>1</vt:i4>
  </property>
  <property fmtid="{D5CDD505-2E9C-101B-9397-08002B2CF9AE}" pid="13" name="EktEDescription">
    <vt:lpwstr>Summary &amp;lt;p&amp;gt;No Formulas  With Formulas  EXPENSES  TOTAL INCOME  Utilities  Printing  Postage  Office Supplies  Childcare Supplies  Food  Taxes/Licenses  Miscellaneous  Dues &amp;amp;amp; Subscriptions  TOTAL EXPENSES  Subtotal Personnel      Parents Pay      Registration/Holding  Childcare Fees:  Payroll  Payroll Taxes  Transportation  Insura&amp;lt;/p&amp;gt;</vt:lpwstr>
  </property>
  <property fmtid="{D5CDD505-2E9C-101B-9397-08002B2CF9AE}" pid="14" name="ekttaxonomyenabled">
    <vt:i4>1</vt:i4>
  </property>
  <property fmtid="{D5CDD505-2E9C-101B-9397-08002B2CF9AE}" pid="15" name="EktContentSubType">
    <vt:i4>0</vt:i4>
  </property>
  <property fmtid="{D5CDD505-2E9C-101B-9397-08002B2CF9AE}" pid="16" name="ContentTypeId">
    <vt:lpwstr>0x010100582461F56A069149A2AA280CF380D30B</vt:lpwstr>
  </property>
  <property fmtid="{D5CDD505-2E9C-101B-9397-08002B2CF9AE}" pid="17" name="MediaServiceImageTags">
    <vt:lpwstr/>
  </property>
</Properties>
</file>